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udovit\Desktop\"/>
    </mc:Choice>
  </mc:AlternateContent>
  <xr:revisionPtr revIDLastSave="0" documentId="13_ncr:1_{28678D25-156F-4257-AE5A-48B82A74775A}" xr6:coauthVersionLast="44" xr6:coauthVersionMax="44" xr10:uidLastSave="{00000000-0000-0000-0000-000000000000}"/>
  <bookViews>
    <workbookView xWindow="-108" yWindow="-108" windowWidth="23256" windowHeight="12576" tabRatio="838" firstSheet="9" activeTab="13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_vývoj" sheetId="28" r:id="rId14"/>
    <sheet name="Limity" sheetId="29" r:id="rId15"/>
    <sheet name="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TO BE" sheetId="24" r:id="rId21"/>
    <sheet name="Rozdelenie prínosov" sheetId="14" r:id="rId22"/>
  </sheets>
  <externalReferences>
    <externalReference r:id="rId23"/>
  </externalReferences>
  <definedNames>
    <definedName name="_xlnm._FilterDatabase" localSheetId="13" hidden="1">Rozpočet_vývoj!$A$1:$H$28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8" l="1"/>
  <c r="E14" i="27"/>
  <c r="D5" i="27"/>
  <c r="E27" i="27" l="1"/>
  <c r="E26" i="27"/>
  <c r="E25" i="27"/>
  <c r="E24" i="27"/>
  <c r="E22" i="27"/>
  <c r="E21" i="27"/>
  <c r="E20" i="27"/>
  <c r="E19" i="27"/>
  <c r="E18" i="27"/>
  <c r="E15" i="27"/>
  <c r="E13" i="27"/>
  <c r="E11" i="27"/>
  <c r="E9" i="27"/>
  <c r="E8" i="27"/>
  <c r="E7" i="27"/>
  <c r="E6" i="27"/>
  <c r="E5" i="27"/>
  <c r="G25" i="28" s="1"/>
  <c r="E4" i="27"/>
  <c r="E28" i="27" l="1"/>
  <c r="F58" i="9"/>
  <c r="E8" i="17"/>
  <c r="E7" i="17"/>
  <c r="E6" i="17"/>
  <c r="E5" i="17"/>
  <c r="K25" i="28" l="1"/>
  <c r="F140" i="9" l="1"/>
  <c r="F130" i="9"/>
  <c r="F5" i="9" l="1"/>
  <c r="F4" i="10"/>
  <c r="F37" i="10" s="1"/>
  <c r="F62" i="9" l="1"/>
  <c r="F61" i="9"/>
  <c r="F60" i="9"/>
  <c r="F59" i="9"/>
  <c r="E3" i="29"/>
  <c r="F67" i="9" l="1"/>
  <c r="F66" i="9"/>
  <c r="F64" i="9"/>
  <c r="F63" i="9"/>
  <c r="F65" i="9"/>
  <c r="H59" i="3" l="1"/>
  <c r="H60" i="3"/>
  <c r="H61" i="3"/>
  <c r="H62" i="3"/>
  <c r="H63" i="3"/>
  <c r="H64" i="3"/>
  <c r="H65" i="3"/>
  <c r="H58" i="3"/>
  <c r="K59" i="3" l="1"/>
  <c r="K60" i="3"/>
  <c r="K61" i="3"/>
  <c r="K62" i="3"/>
  <c r="K63" i="3"/>
  <c r="K64" i="3"/>
  <c r="K65" i="3"/>
  <c r="K58" i="3"/>
  <c r="D4" i="28" l="1"/>
  <c r="D21" i="28" l="1"/>
  <c r="D17" i="28"/>
  <c r="D9" i="28"/>
  <c r="E14" i="29" l="1"/>
  <c r="E13" i="29"/>
  <c r="E12" i="29"/>
  <c r="E11" i="29"/>
  <c r="E10" i="29"/>
  <c r="E9" i="29"/>
  <c r="E8" i="29"/>
  <c r="E7" i="29"/>
  <c r="E6" i="29"/>
  <c r="E5" i="29"/>
  <c r="E4" i="29"/>
  <c r="D22" i="28"/>
  <c r="F22" i="28" s="1"/>
  <c r="G22" i="28" s="1"/>
  <c r="F21" i="28"/>
  <c r="G21" i="28" s="1"/>
  <c r="D20" i="28"/>
  <c r="F20" i="28" s="1"/>
  <c r="D18" i="28"/>
  <c r="F18" i="28" s="1"/>
  <c r="G18" i="28" s="1"/>
  <c r="F17" i="28"/>
  <c r="G17" i="28" s="1"/>
  <c r="D16" i="28"/>
  <c r="F16" i="28" s="1"/>
  <c r="G16" i="28" s="1"/>
  <c r="D15" i="28"/>
  <c r="F15" i="28" s="1"/>
  <c r="G15" i="28" s="1"/>
  <c r="D14" i="28"/>
  <c r="F14" i="28" s="1"/>
  <c r="G14" i="28" s="1"/>
  <c r="D13" i="28"/>
  <c r="F13" i="28" s="1"/>
  <c r="D11" i="28"/>
  <c r="F11" i="28" s="1"/>
  <c r="G11" i="28" s="1"/>
  <c r="D10" i="28"/>
  <c r="F10" i="28" s="1"/>
  <c r="G10" i="28" s="1"/>
  <c r="F9" i="28"/>
  <c r="G9" i="28" s="1"/>
  <c r="D8" i="28"/>
  <c r="F8" i="28" s="1"/>
  <c r="D6" i="28"/>
  <c r="F6" i="28" s="1"/>
  <c r="G6" i="28" s="1"/>
  <c r="D5" i="28"/>
  <c r="F5" i="28" s="1"/>
  <c r="G5" i="28" s="1"/>
  <c r="F4" i="28"/>
  <c r="G4" i="28" s="1"/>
  <c r="D3" i="28"/>
  <c r="F3" i="28" s="1"/>
  <c r="G3" i="28" s="1"/>
  <c r="D2" i="28"/>
  <c r="F2" i="28" s="1"/>
  <c r="E15" i="29" l="1"/>
  <c r="F8" i="29" s="1"/>
  <c r="F12" i="28"/>
  <c r="G20" i="28"/>
  <c r="G23" i="28" s="1"/>
  <c r="F23" i="28"/>
  <c r="F19" i="28"/>
  <c r="G13" i="28"/>
  <c r="G19" i="28" s="1"/>
  <c r="F7" i="28"/>
  <c r="G2" i="28"/>
  <c r="G7" i="28" s="1"/>
  <c r="G8" i="28"/>
  <c r="G12" i="28" s="1"/>
  <c r="F3" i="29" l="1"/>
  <c r="F9" i="29"/>
  <c r="F4" i="29"/>
  <c r="F11" i="29"/>
  <c r="F10" i="29"/>
  <c r="F7" i="29"/>
  <c r="F14" i="29"/>
  <c r="F6" i="29"/>
  <c r="F13" i="29"/>
  <c r="F5" i="29"/>
  <c r="F12" i="29"/>
  <c r="G24" i="28"/>
  <c r="F26" i="9" s="1"/>
  <c r="F100" i="9" l="1"/>
  <c r="F80" i="9"/>
  <c r="I19" i="28"/>
  <c r="I7" i="28"/>
  <c r="I23" i="28"/>
  <c r="I12" i="28"/>
  <c r="F81" i="9" l="1"/>
  <c r="F88" i="9"/>
  <c r="F87" i="9"/>
  <c r="F85" i="9"/>
  <c r="F84" i="9"/>
  <c r="F83" i="9"/>
  <c r="F82" i="9"/>
  <c r="F86" i="9"/>
  <c r="F108" i="9"/>
  <c r="F107" i="9"/>
  <c r="F106" i="9"/>
  <c r="F105" i="9"/>
  <c r="F104" i="9"/>
  <c r="F103" i="9"/>
  <c r="F102" i="9"/>
  <c r="F101" i="9"/>
  <c r="D16" i="3"/>
  <c r="I6" i="3"/>
  <c r="L6" i="3"/>
  <c r="O6" i="3"/>
  <c r="I7" i="3"/>
  <c r="L7" i="3"/>
  <c r="O7" i="3"/>
  <c r="I8" i="3"/>
  <c r="L8" i="3"/>
  <c r="O8" i="3"/>
  <c r="I9" i="3"/>
  <c r="L9" i="3"/>
  <c r="O9" i="3"/>
  <c r="I10" i="3"/>
  <c r="L10" i="3"/>
  <c r="O10" i="3"/>
  <c r="I11" i="3"/>
  <c r="L11" i="3"/>
  <c r="O11" i="3"/>
  <c r="I12" i="3"/>
  <c r="L12" i="3"/>
  <c r="O12" i="3"/>
  <c r="I13" i="3"/>
  <c r="L13" i="3"/>
  <c r="O13" i="3"/>
  <c r="I14" i="3"/>
  <c r="L14" i="3"/>
  <c r="O14" i="3"/>
  <c r="I15" i="3"/>
  <c r="L15" i="3"/>
  <c r="O15" i="3"/>
  <c r="D8" i="1"/>
  <c r="E83" i="9" l="1"/>
  <c r="E84" i="9"/>
  <c r="E85" i="9"/>
  <c r="E86" i="9"/>
  <c r="E87" i="9"/>
  <c r="E82" i="9"/>
  <c r="E16" i="3"/>
  <c r="H93" i="3"/>
  <c r="H94" i="3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/>
  <c r="E125" i="14"/>
  <c r="D125" i="14" s="1"/>
  <c r="E124" i="14"/>
  <c r="D124" i="14" s="1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 s="1"/>
  <c r="E91" i="14"/>
  <c r="D91" i="14"/>
  <c r="E90" i="14"/>
  <c r="D90" i="14" s="1"/>
  <c r="E89" i="14"/>
  <c r="D89" i="14" s="1"/>
  <c r="E88" i="14"/>
  <c r="D88" i="14" s="1"/>
  <c r="E87" i="14"/>
  <c r="D87" i="14" s="1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 s="1"/>
  <c r="E56" i="14"/>
  <c r="D56" i="14"/>
  <c r="E55" i="14"/>
  <c r="D55" i="14" s="1"/>
  <c r="E54" i="14"/>
  <c r="D54" i="14" s="1"/>
  <c r="E53" i="14"/>
  <c r="D53" i="14" s="1"/>
  <c r="E52" i="14"/>
  <c r="D52" i="14" s="1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 s="1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AO12" i="26"/>
  <c r="AN12" i="26"/>
  <c r="AM12" i="26"/>
  <c r="AF12" i="26"/>
  <c r="AE12" i="26"/>
  <c r="AD12" i="26"/>
  <c r="AC12" i="26"/>
  <c r="AP11" i="26"/>
  <c r="AH11" i="26"/>
  <c r="AG11" i="26"/>
  <c r="AP10" i="26"/>
  <c r="AH10" i="26"/>
  <c r="AG10" i="26"/>
  <c r="AI10" i="26" s="1"/>
  <c r="AP9" i="26"/>
  <c r="AH9" i="26"/>
  <c r="AG9" i="26"/>
  <c r="AI9" i="26" s="1"/>
  <c r="AP8" i="26"/>
  <c r="AP12" i="26" s="1"/>
  <c r="AH8" i="26"/>
  <c r="AG8" i="26"/>
  <c r="AI8" i="26" s="1"/>
  <c r="AP7" i="26"/>
  <c r="AH7" i="26"/>
  <c r="AG7" i="26"/>
  <c r="AP6" i="26"/>
  <c r="AH6" i="26"/>
  <c r="AG6" i="26"/>
  <c r="AG12" i="26" s="1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13" i="11" s="1"/>
  <c r="E42" i="11" s="1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36" i="10"/>
  <c r="E35" i="10"/>
  <c r="K34" i="10"/>
  <c r="J34" i="10"/>
  <c r="I34" i="10"/>
  <c r="S12" i="20" s="1"/>
  <c r="H34" i="10"/>
  <c r="R12" i="20" s="1"/>
  <c r="G34" i="10"/>
  <c r="Q12" i="20" s="1"/>
  <c r="E33" i="10"/>
  <c r="E32" i="10"/>
  <c r="L12" i="11" s="1"/>
  <c r="L41" i="11" s="1"/>
  <c r="E31" i="10"/>
  <c r="K12" i="11" s="1"/>
  <c r="K41" i="11" s="1"/>
  <c r="E30" i="10"/>
  <c r="E29" i="10"/>
  <c r="E28" i="10"/>
  <c r="E27" i="10"/>
  <c r="E26" i="10"/>
  <c r="E25" i="10"/>
  <c r="E24" i="10"/>
  <c r="E23" i="10"/>
  <c r="M12" i="11" s="1"/>
  <c r="M41" i="11" s="1"/>
  <c r="E22" i="10"/>
  <c r="E21" i="10"/>
  <c r="E20" i="10"/>
  <c r="E19" i="10"/>
  <c r="E18" i="10"/>
  <c r="E17" i="10"/>
  <c r="E16" i="10"/>
  <c r="F12" i="11" s="1"/>
  <c r="F41" i="11" s="1"/>
  <c r="E15" i="10"/>
  <c r="E12" i="11" s="1"/>
  <c r="E41" i="11" s="1"/>
  <c r="E14" i="10"/>
  <c r="E13" i="10"/>
  <c r="E12" i="10"/>
  <c r="E11" i="10"/>
  <c r="E10" i="10"/>
  <c r="E9" i="10"/>
  <c r="E8" i="10"/>
  <c r="H12" i="11" s="1"/>
  <c r="H41" i="11" s="1"/>
  <c r="E7" i="10"/>
  <c r="G12" i="11" s="1"/>
  <c r="G41" i="11" s="1"/>
  <c r="E6" i="10"/>
  <c r="E5" i="10"/>
  <c r="K3" i="10"/>
  <c r="J3" i="10"/>
  <c r="I3" i="10"/>
  <c r="S8" i="20" s="1"/>
  <c r="H3" i="10"/>
  <c r="R8" i="20" s="1"/>
  <c r="G3" i="10"/>
  <c r="Q8" i="20" s="1"/>
  <c r="E170" i="9"/>
  <c r="E169" i="9"/>
  <c r="E168" i="9"/>
  <c r="E167" i="9"/>
  <c r="E166" i="9"/>
  <c r="E165" i="9"/>
  <c r="H11" i="11" s="1"/>
  <c r="E164" i="9"/>
  <c r="G11" i="11" s="1"/>
  <c r="E163" i="9"/>
  <c r="E162" i="9"/>
  <c r="E161" i="9"/>
  <c r="E160" i="9"/>
  <c r="E159" i="9"/>
  <c r="E158" i="9"/>
  <c r="E157" i="9"/>
  <c r="J11" i="11" s="1"/>
  <c r="E156" i="9"/>
  <c r="I11" i="11" s="1"/>
  <c r="E155" i="9"/>
  <c r="E154" i="9"/>
  <c r="E153" i="9"/>
  <c r="E152" i="9"/>
  <c r="E151" i="9"/>
  <c r="J150" i="9"/>
  <c r="I150" i="9"/>
  <c r="S14" i="20" s="1"/>
  <c r="H150" i="9"/>
  <c r="R14" i="20" s="1"/>
  <c r="G150" i="9"/>
  <c r="F150" i="9"/>
  <c r="E149" i="9"/>
  <c r="E148" i="9"/>
  <c r="E147" i="9"/>
  <c r="E146" i="9"/>
  <c r="J14" i="11" s="1"/>
  <c r="E145" i="9"/>
  <c r="I14" i="11" s="1"/>
  <c r="E144" i="9"/>
  <c r="E143" i="9"/>
  <c r="E142" i="9"/>
  <c r="E141" i="9"/>
  <c r="E140" i="9"/>
  <c r="E139" i="9"/>
  <c r="E138" i="9"/>
  <c r="L14" i="11" s="1"/>
  <c r="E137" i="9"/>
  <c r="K14" i="11" s="1"/>
  <c r="E136" i="9"/>
  <c r="E135" i="9"/>
  <c r="E134" i="9"/>
  <c r="E133" i="9"/>
  <c r="E132" i="9"/>
  <c r="E131" i="9"/>
  <c r="E130" i="9"/>
  <c r="J129" i="9"/>
  <c r="T13" i="20" s="1"/>
  <c r="I129" i="9"/>
  <c r="H129" i="9"/>
  <c r="G129" i="9"/>
  <c r="Q13" i="20" s="1"/>
  <c r="F129" i="9"/>
  <c r="P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D10" i="11" s="1"/>
  <c r="D39" i="11" s="1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1" i="9"/>
  <c r="E80" i="9"/>
  <c r="E79" i="9"/>
  <c r="J78" i="9"/>
  <c r="T10" i="20" s="1"/>
  <c r="I78" i="9"/>
  <c r="S10" i="20" s="1"/>
  <c r="H78" i="9"/>
  <c r="R10" i="20" s="1"/>
  <c r="R9" i="20" s="1"/>
  <c r="G78" i="9"/>
  <c r="Q10" i="20" s="1"/>
  <c r="Q9" i="20" s="1"/>
  <c r="E77" i="9"/>
  <c r="E76" i="9"/>
  <c r="E75" i="9"/>
  <c r="E74" i="9"/>
  <c r="E73" i="9"/>
  <c r="E72" i="9"/>
  <c r="E71" i="9"/>
  <c r="E70" i="9"/>
  <c r="E69" i="9"/>
  <c r="E68" i="9"/>
  <c r="E67" i="9"/>
  <c r="M8" i="11" s="1"/>
  <c r="M37" i="11" s="1"/>
  <c r="E66" i="9"/>
  <c r="L8" i="11" s="1"/>
  <c r="L37" i="11" s="1"/>
  <c r="E65" i="9"/>
  <c r="K8" i="11" s="1"/>
  <c r="K37" i="11" s="1"/>
  <c r="E64" i="9"/>
  <c r="J8" i="11" s="1"/>
  <c r="J37" i="11" s="1"/>
  <c r="E63" i="9"/>
  <c r="E62" i="9"/>
  <c r="H8" i="11" s="1"/>
  <c r="H37" i="11" s="1"/>
  <c r="E61" i="9"/>
  <c r="G8" i="11" s="1"/>
  <c r="E60" i="9"/>
  <c r="F8" i="11" s="1"/>
  <c r="F37" i="11" s="1"/>
  <c r="E59" i="9"/>
  <c r="E8" i="11" s="1"/>
  <c r="E37" i="11" s="1"/>
  <c r="E58" i="9"/>
  <c r="J57" i="9"/>
  <c r="I57" i="9"/>
  <c r="S11" i="20" s="1"/>
  <c r="H57" i="9"/>
  <c r="R11" i="20" s="1"/>
  <c r="G57" i="9"/>
  <c r="Q11" i="20" s="1"/>
  <c r="F57" i="9"/>
  <c r="E55" i="9"/>
  <c r="M9" i="11" s="1"/>
  <c r="M38" i="11" s="1"/>
  <c r="E54" i="9"/>
  <c r="L9" i="11" s="1"/>
  <c r="L38" i="11" s="1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G9" i="11" s="1"/>
  <c r="G38" i="11" s="1"/>
  <c r="E38" i="9"/>
  <c r="F9" i="11" s="1"/>
  <c r="F38" i="11" s="1"/>
  <c r="E37" i="9"/>
  <c r="E36" i="9"/>
  <c r="E35" i="9"/>
  <c r="E34" i="9"/>
  <c r="E33" i="9"/>
  <c r="E32" i="9"/>
  <c r="E31" i="9"/>
  <c r="E30" i="9"/>
  <c r="E29" i="9"/>
  <c r="E28" i="9"/>
  <c r="E27" i="9"/>
  <c r="E26" i="9"/>
  <c r="J25" i="9"/>
  <c r="T6" i="20" s="1"/>
  <c r="I25" i="9"/>
  <c r="S6" i="20" s="1"/>
  <c r="H25" i="9"/>
  <c r="R6" i="20" s="1"/>
  <c r="R5" i="20" s="1"/>
  <c r="G25" i="9"/>
  <c r="Q6" i="20" s="1"/>
  <c r="F25" i="9"/>
  <c r="P6" i="20" s="1"/>
  <c r="E24" i="9"/>
  <c r="E23" i="9"/>
  <c r="E22" i="9"/>
  <c r="E21" i="9"/>
  <c r="E20" i="9"/>
  <c r="I7" i="11" s="1"/>
  <c r="I36" i="11" s="1"/>
  <c r="E19" i="9"/>
  <c r="H7" i="11" s="1"/>
  <c r="E18" i="9"/>
  <c r="E17" i="9"/>
  <c r="E16" i="9"/>
  <c r="E15" i="9"/>
  <c r="E14" i="9"/>
  <c r="E13" i="9"/>
  <c r="E12" i="9"/>
  <c r="K7" i="11" s="1"/>
  <c r="K36" i="11" s="1"/>
  <c r="E11" i="9"/>
  <c r="J7" i="11" s="1"/>
  <c r="J36" i="11" s="1"/>
  <c r="E10" i="9"/>
  <c r="E9" i="9"/>
  <c r="E8" i="9"/>
  <c r="E7" i="9"/>
  <c r="E6" i="9"/>
  <c r="E5" i="9"/>
  <c r="D7" i="11" s="1"/>
  <c r="J4" i="9"/>
  <c r="I4" i="9"/>
  <c r="S7" i="20" s="1"/>
  <c r="S5" i="20" s="1"/>
  <c r="H4" i="9"/>
  <c r="R7" i="20" s="1"/>
  <c r="G4" i="9"/>
  <c r="Q7" i="20" s="1"/>
  <c r="F4" i="9"/>
  <c r="E3" i="18"/>
  <c r="E25" i="17"/>
  <c r="E4" i="17"/>
  <c r="M27" i="11"/>
  <c r="L27" i="11"/>
  <c r="K27" i="11"/>
  <c r="J27" i="11"/>
  <c r="I27" i="11"/>
  <c r="H27" i="11"/>
  <c r="B8" i="6" s="1"/>
  <c r="G27" i="11"/>
  <c r="B7" i="6" s="1"/>
  <c r="F27" i="11"/>
  <c r="E27" i="11"/>
  <c r="D27" i="11"/>
  <c r="M25" i="11"/>
  <c r="L25" i="11"/>
  <c r="K25" i="11"/>
  <c r="J25" i="11"/>
  <c r="H10" i="6" s="1"/>
  <c r="I25" i="11"/>
  <c r="H9" i="6" s="1"/>
  <c r="H25" i="11"/>
  <c r="G25" i="11"/>
  <c r="F25" i="11"/>
  <c r="E25" i="11"/>
  <c r="D25" i="11"/>
  <c r="M23" i="11"/>
  <c r="M28" i="11" s="1"/>
  <c r="L23" i="11"/>
  <c r="L28" i="11" s="1"/>
  <c r="K23" i="11"/>
  <c r="K28" i="11" s="1"/>
  <c r="J23" i="11"/>
  <c r="I23" i="11"/>
  <c r="H23" i="11"/>
  <c r="G23" i="11"/>
  <c r="G28" i="11" s="1"/>
  <c r="F23" i="11"/>
  <c r="F28" i="11" s="1"/>
  <c r="E23" i="11"/>
  <c r="E28" i="11" s="1"/>
  <c r="D23" i="11"/>
  <c r="D28" i="11" s="1"/>
  <c r="M14" i="11"/>
  <c r="M43" i="11" s="1"/>
  <c r="H14" i="11"/>
  <c r="H43" i="11" s="1"/>
  <c r="G14" i="11"/>
  <c r="G43" i="11" s="1"/>
  <c r="F14" i="11"/>
  <c r="F43" i="11" s="1"/>
  <c r="J12" i="11"/>
  <c r="J41" i="11" s="1"/>
  <c r="I12" i="11"/>
  <c r="I41" i="11" s="1"/>
  <c r="M11" i="11"/>
  <c r="M40" i="11" s="1"/>
  <c r="L11" i="11"/>
  <c r="L40" i="11" s="1"/>
  <c r="K11" i="11"/>
  <c r="K40" i="11" s="1"/>
  <c r="F11" i="11"/>
  <c r="F40" i="11" s="1"/>
  <c r="E11" i="11"/>
  <c r="E40" i="11" s="1"/>
  <c r="D11" i="11"/>
  <c r="D40" i="11" s="1"/>
  <c r="K9" i="11"/>
  <c r="K38" i="11" s="1"/>
  <c r="J9" i="11"/>
  <c r="J38" i="11" s="1"/>
  <c r="I9" i="11"/>
  <c r="I38" i="11" s="1"/>
  <c r="H9" i="11"/>
  <c r="H38" i="11" s="1"/>
  <c r="M7" i="11"/>
  <c r="M36" i="11" s="1"/>
  <c r="L7" i="11"/>
  <c r="G7" i="11"/>
  <c r="G36" i="11" s="1"/>
  <c r="F7" i="11"/>
  <c r="E7" i="11"/>
  <c r="E36" i="11" s="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P132" i="3"/>
  <c r="M132" i="3"/>
  <c r="J132" i="3"/>
  <c r="G132" i="3"/>
  <c r="P131" i="3"/>
  <c r="M131" i="3"/>
  <c r="J131" i="3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S127" i="3"/>
  <c r="N136" i="3" s="1"/>
  <c r="P127" i="3"/>
  <c r="M127" i="3"/>
  <c r="J127" i="3"/>
  <c r="G127" i="3"/>
  <c r="Q126" i="3"/>
  <c r="P126" i="3"/>
  <c r="N126" i="3"/>
  <c r="M126" i="3"/>
  <c r="K126" i="3"/>
  <c r="J126" i="3"/>
  <c r="H126" i="3"/>
  <c r="G126" i="3"/>
  <c r="Q125" i="3"/>
  <c r="P125" i="3"/>
  <c r="N125" i="3"/>
  <c r="M125" i="3"/>
  <c r="K125" i="3"/>
  <c r="J125" i="3"/>
  <c r="H125" i="3"/>
  <c r="G125" i="3"/>
  <c r="Q124" i="3"/>
  <c r="P124" i="3"/>
  <c r="N124" i="3"/>
  <c r="M124" i="3"/>
  <c r="K124" i="3"/>
  <c r="J124" i="3"/>
  <c r="H124" i="3"/>
  <c r="G124" i="3"/>
  <c r="Q123" i="3"/>
  <c r="P123" i="3"/>
  <c r="N123" i="3"/>
  <c r="M123" i="3"/>
  <c r="K123" i="3"/>
  <c r="J123" i="3"/>
  <c r="H123" i="3"/>
  <c r="G123" i="3"/>
  <c r="Q122" i="3"/>
  <c r="P122" i="3"/>
  <c r="R122" i="3" s="1"/>
  <c r="N122" i="3"/>
  <c r="M122" i="3"/>
  <c r="K122" i="3"/>
  <c r="J122" i="3"/>
  <c r="H122" i="3"/>
  <c r="G122" i="3"/>
  <c r="Q121" i="3"/>
  <c r="P121" i="3"/>
  <c r="N121" i="3"/>
  <c r="M121" i="3"/>
  <c r="K121" i="3"/>
  <c r="J121" i="3"/>
  <c r="H121" i="3"/>
  <c r="G121" i="3"/>
  <c r="Q120" i="3"/>
  <c r="P120" i="3"/>
  <c r="N120" i="3"/>
  <c r="M120" i="3"/>
  <c r="K120" i="3"/>
  <c r="J120" i="3"/>
  <c r="H120" i="3"/>
  <c r="G120" i="3"/>
  <c r="Q119" i="3"/>
  <c r="P119" i="3"/>
  <c r="N119" i="3"/>
  <c r="M119" i="3"/>
  <c r="K119" i="3"/>
  <c r="J119" i="3"/>
  <c r="H119" i="3"/>
  <c r="G119" i="3"/>
  <c r="Q118" i="3"/>
  <c r="P118" i="3"/>
  <c r="N118" i="3"/>
  <c r="M118" i="3"/>
  <c r="K118" i="3"/>
  <c r="J118" i="3"/>
  <c r="H118" i="3"/>
  <c r="G118" i="3"/>
  <c r="Q117" i="3"/>
  <c r="P117" i="3"/>
  <c r="N117" i="3"/>
  <c r="M117" i="3"/>
  <c r="K117" i="3"/>
  <c r="J117" i="3"/>
  <c r="H117" i="3"/>
  <c r="G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N96" i="3"/>
  <c r="D83" i="14" s="1"/>
  <c r="M96" i="3"/>
  <c r="K96" i="3"/>
  <c r="D48" i="14" s="1"/>
  <c r="J96" i="3"/>
  <c r="H96" i="3"/>
  <c r="G96" i="3"/>
  <c r="Q95" i="3"/>
  <c r="P95" i="3"/>
  <c r="R95" i="3" s="1"/>
  <c r="N95" i="3"/>
  <c r="M95" i="3"/>
  <c r="K95" i="3"/>
  <c r="J95" i="3"/>
  <c r="H95" i="3"/>
  <c r="G95" i="3"/>
  <c r="Q94" i="3"/>
  <c r="D116" i="14" s="1"/>
  <c r="P94" i="3"/>
  <c r="N94" i="3"/>
  <c r="M94" i="3"/>
  <c r="K94" i="3"/>
  <c r="D46" i="14" s="1"/>
  <c r="J94" i="3"/>
  <c r="G94" i="3"/>
  <c r="Q93" i="3"/>
  <c r="P93" i="3"/>
  <c r="N93" i="3"/>
  <c r="M93" i="3"/>
  <c r="K93" i="3"/>
  <c r="J93" i="3"/>
  <c r="G93" i="3"/>
  <c r="Q92" i="3"/>
  <c r="D114" i="14" s="1"/>
  <c r="P92" i="3"/>
  <c r="N92" i="3"/>
  <c r="D79" i="14" s="1"/>
  <c r="M92" i="3"/>
  <c r="K92" i="3"/>
  <c r="D44" i="14" s="1"/>
  <c r="J92" i="3"/>
  <c r="H92" i="3"/>
  <c r="G92" i="3"/>
  <c r="Q91" i="3"/>
  <c r="P91" i="3"/>
  <c r="N91" i="3"/>
  <c r="O91" i="3" s="1"/>
  <c r="M91" i="3"/>
  <c r="K91" i="3"/>
  <c r="J91" i="3"/>
  <c r="H91" i="3"/>
  <c r="G91" i="3"/>
  <c r="Q90" i="3"/>
  <c r="D112" i="14" s="1"/>
  <c r="P90" i="3"/>
  <c r="N90" i="3"/>
  <c r="D77" i="14" s="1"/>
  <c r="M90" i="3"/>
  <c r="K90" i="3"/>
  <c r="J90" i="3"/>
  <c r="H90" i="3"/>
  <c r="G90" i="3"/>
  <c r="Q89" i="3"/>
  <c r="P89" i="3"/>
  <c r="N89" i="3"/>
  <c r="M89" i="3"/>
  <c r="K89" i="3"/>
  <c r="J89" i="3"/>
  <c r="H89" i="3"/>
  <c r="D6" i="14" s="1"/>
  <c r="G89" i="3"/>
  <c r="Q88" i="3"/>
  <c r="D110" i="14" s="1"/>
  <c r="P88" i="3"/>
  <c r="N88" i="3"/>
  <c r="D75" i="14" s="1"/>
  <c r="M88" i="3"/>
  <c r="K88" i="3"/>
  <c r="D40" i="14" s="1"/>
  <c r="J88" i="3"/>
  <c r="H88" i="3"/>
  <c r="G88" i="3"/>
  <c r="Q87" i="3"/>
  <c r="P87" i="3"/>
  <c r="N87" i="3"/>
  <c r="M87" i="3"/>
  <c r="K87" i="3"/>
  <c r="J87" i="3"/>
  <c r="H87" i="3"/>
  <c r="G87" i="3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J78" i="3"/>
  <c r="G78" i="3"/>
  <c r="P77" i="3"/>
  <c r="M77" i="3"/>
  <c r="J77" i="3"/>
  <c r="G77" i="3"/>
  <c r="P76" i="3"/>
  <c r="M76" i="3"/>
  <c r="J76" i="3"/>
  <c r="G76" i="3"/>
  <c r="P75" i="3"/>
  <c r="M75" i="3"/>
  <c r="J75" i="3"/>
  <c r="G75" i="3"/>
  <c r="P74" i="3"/>
  <c r="M74" i="3"/>
  <c r="J74" i="3"/>
  <c r="G74" i="3"/>
  <c r="P73" i="3"/>
  <c r="M73" i="3"/>
  <c r="J73" i="3"/>
  <c r="G73" i="3"/>
  <c r="P72" i="3"/>
  <c r="M72" i="3"/>
  <c r="J72" i="3"/>
  <c r="G72" i="3"/>
  <c r="P71" i="3"/>
  <c r="M71" i="3"/>
  <c r="J71" i="3"/>
  <c r="G71" i="3"/>
  <c r="P70" i="3"/>
  <c r="M70" i="3"/>
  <c r="J70" i="3"/>
  <c r="G70" i="3"/>
  <c r="P69" i="3"/>
  <c r="M69" i="3"/>
  <c r="J69" i="3"/>
  <c r="G69" i="3"/>
  <c r="P68" i="3"/>
  <c r="M68" i="3"/>
  <c r="J68" i="3"/>
  <c r="G68" i="3"/>
  <c r="S67" i="3"/>
  <c r="K76" i="3" s="1"/>
  <c r="P67" i="3"/>
  <c r="M67" i="3"/>
  <c r="J67" i="3"/>
  <c r="G6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R56" i="3"/>
  <c r="O56" i="3"/>
  <c r="L56" i="3"/>
  <c r="I56" i="3"/>
  <c r="E56" i="3"/>
  <c r="D5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F53" i="3" s="1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S46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16" i="3"/>
  <c r="O25" i="3"/>
  <c r="M116" i="3"/>
  <c r="J116" i="3"/>
  <c r="G116" i="3"/>
  <c r="R24" i="3"/>
  <c r="O24" i="3"/>
  <c r="M115" i="3"/>
  <c r="J115" i="3"/>
  <c r="G115" i="3"/>
  <c r="P114" i="3"/>
  <c r="O23" i="3"/>
  <c r="M114" i="3"/>
  <c r="L23" i="3"/>
  <c r="G114" i="3"/>
  <c r="R22" i="3"/>
  <c r="M113" i="3"/>
  <c r="J113" i="3"/>
  <c r="G113" i="3"/>
  <c r="R21" i="3"/>
  <c r="O21" i="3"/>
  <c r="M112" i="3"/>
  <c r="J112" i="3"/>
  <c r="G112" i="3"/>
  <c r="P111" i="3"/>
  <c r="O20" i="3"/>
  <c r="M111" i="3"/>
  <c r="L20" i="3"/>
  <c r="G111" i="3"/>
  <c r="P110" i="3"/>
  <c r="O19" i="3"/>
  <c r="M110" i="3"/>
  <c r="L19" i="3"/>
  <c r="G110" i="3"/>
  <c r="M109" i="3"/>
  <c r="G109" i="3"/>
  <c r="P108" i="3"/>
  <c r="J108" i="3"/>
  <c r="G108" i="3"/>
  <c r="P107" i="3"/>
  <c r="J107" i="3"/>
  <c r="H107" i="3"/>
  <c r="G107" i="3"/>
  <c r="R15" i="3"/>
  <c r="E15" i="3"/>
  <c r="D15" i="3"/>
  <c r="R14" i="3"/>
  <c r="E14" i="3"/>
  <c r="D14" i="3"/>
  <c r="R13" i="3"/>
  <c r="E13" i="3"/>
  <c r="D13" i="3"/>
  <c r="R12" i="3"/>
  <c r="E12" i="3"/>
  <c r="D12" i="3"/>
  <c r="R11" i="3"/>
  <c r="E11" i="3"/>
  <c r="D11" i="3"/>
  <c r="R10" i="3"/>
  <c r="E10" i="3"/>
  <c r="D10" i="3"/>
  <c r="R9" i="3"/>
  <c r="E9" i="3"/>
  <c r="D9" i="3"/>
  <c r="R8" i="3"/>
  <c r="E8" i="3"/>
  <c r="D8" i="3"/>
  <c r="R7" i="3"/>
  <c r="F7" i="3" s="1"/>
  <c r="E7" i="3"/>
  <c r="D7" i="3"/>
  <c r="R6" i="3"/>
  <c r="E6" i="3"/>
  <c r="D6" i="3"/>
  <c r="P4" i="3"/>
  <c r="M4" i="3"/>
  <c r="P3" i="3"/>
  <c r="M3" i="3"/>
  <c r="N14" i="6"/>
  <c r="K14" i="6"/>
  <c r="L13" i="6"/>
  <c r="M13" i="6" s="1"/>
  <c r="H13" i="6"/>
  <c r="E13" i="6"/>
  <c r="B13" i="6"/>
  <c r="H12" i="6"/>
  <c r="B12" i="6"/>
  <c r="H11" i="6"/>
  <c r="B11" i="6"/>
  <c r="E10" i="6"/>
  <c r="B10" i="6"/>
  <c r="E9" i="6"/>
  <c r="B9" i="6"/>
  <c r="O8" i="6"/>
  <c r="P8" i="6" s="1"/>
  <c r="H8" i="6"/>
  <c r="E8" i="6"/>
  <c r="O7" i="6"/>
  <c r="P7" i="6" s="1"/>
  <c r="H7" i="6"/>
  <c r="E7" i="6"/>
  <c r="L6" i="6"/>
  <c r="M6" i="6" s="1"/>
  <c r="H6" i="6"/>
  <c r="E6" i="6"/>
  <c r="B6" i="6"/>
  <c r="W5" i="6"/>
  <c r="L5" i="6"/>
  <c r="M5" i="6" s="1"/>
  <c r="H5" i="6"/>
  <c r="E5" i="6"/>
  <c r="B5" i="6"/>
  <c r="W4" i="6"/>
  <c r="H4" i="6"/>
  <c r="E4" i="6"/>
  <c r="B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Q14" i="20"/>
  <c r="P14" i="20"/>
  <c r="H14" i="20"/>
  <c r="G14" i="20"/>
  <c r="F14" i="20"/>
  <c r="E14" i="20"/>
  <c r="D14" i="20"/>
  <c r="S13" i="20"/>
  <c r="R13" i="20"/>
  <c r="H13" i="20"/>
  <c r="G13" i="20"/>
  <c r="F13" i="20"/>
  <c r="E13" i="20"/>
  <c r="D13" i="20"/>
  <c r="G12" i="20"/>
  <c r="F12" i="20"/>
  <c r="E12" i="20"/>
  <c r="H11" i="20"/>
  <c r="G11" i="20"/>
  <c r="F11" i="20"/>
  <c r="E11" i="20"/>
  <c r="D11" i="20"/>
  <c r="I11" i="20" s="1"/>
  <c r="H10" i="20"/>
  <c r="H9" i="20" s="1"/>
  <c r="G10" i="20"/>
  <c r="F10" i="20"/>
  <c r="E10" i="20"/>
  <c r="G8" i="20"/>
  <c r="F8" i="20"/>
  <c r="E8" i="20"/>
  <c r="H7" i="20"/>
  <c r="G7" i="20"/>
  <c r="F7" i="20"/>
  <c r="E7" i="20"/>
  <c r="D7" i="20"/>
  <c r="H6" i="20"/>
  <c r="G6" i="20"/>
  <c r="G5" i="20" s="1"/>
  <c r="F6" i="20"/>
  <c r="E6" i="20"/>
  <c r="D6" i="20"/>
  <c r="G2" i="20"/>
  <c r="S2" i="20" s="1"/>
  <c r="F2" i="20"/>
  <c r="R2" i="20" s="1"/>
  <c r="E2" i="20"/>
  <c r="Q2" i="20" s="1"/>
  <c r="D2" i="20"/>
  <c r="P2" i="20" s="1"/>
  <c r="G37" i="11" l="1"/>
  <c r="J10" i="11"/>
  <c r="J39" i="11" s="1"/>
  <c r="G10" i="11"/>
  <c r="G39" i="11" s="1"/>
  <c r="F10" i="11"/>
  <c r="F39" i="11" s="1"/>
  <c r="E14" i="11"/>
  <c r="E43" i="11" s="1"/>
  <c r="G29" i="28"/>
  <c r="I26" i="28" s="1"/>
  <c r="F78" i="9"/>
  <c r="P10" i="20" s="1"/>
  <c r="U10" i="20" s="1"/>
  <c r="D10" i="20"/>
  <c r="F61" i="3"/>
  <c r="F65" i="3"/>
  <c r="D128" i="3"/>
  <c r="K5" i="4" s="1"/>
  <c r="D136" i="3"/>
  <c r="K13" i="4" s="1"/>
  <c r="F64" i="3"/>
  <c r="D133" i="3"/>
  <c r="K10" i="4" s="1"/>
  <c r="D135" i="3"/>
  <c r="K12" i="4" s="1"/>
  <c r="F57" i="3"/>
  <c r="D129" i="3"/>
  <c r="K6" i="4" s="1"/>
  <c r="D127" i="3"/>
  <c r="K4" i="4" s="1"/>
  <c r="O89" i="3"/>
  <c r="O87" i="3"/>
  <c r="I121" i="3"/>
  <c r="I42" i="3"/>
  <c r="L93" i="3"/>
  <c r="L112" i="3"/>
  <c r="L124" i="3"/>
  <c r="L125" i="3"/>
  <c r="L116" i="3"/>
  <c r="L113" i="3"/>
  <c r="O117" i="3"/>
  <c r="O118" i="3"/>
  <c r="D96" i="3"/>
  <c r="O119" i="3"/>
  <c r="O121" i="3"/>
  <c r="O122" i="3"/>
  <c r="O123" i="3"/>
  <c r="O126" i="3"/>
  <c r="I87" i="3"/>
  <c r="E94" i="3"/>
  <c r="D81" i="3"/>
  <c r="N8" i="4" s="1"/>
  <c r="L87" i="3"/>
  <c r="L89" i="3"/>
  <c r="L91" i="3"/>
  <c r="R118" i="3"/>
  <c r="O92" i="3"/>
  <c r="O95" i="3"/>
  <c r="O96" i="3"/>
  <c r="H5" i="20"/>
  <c r="M10" i="11"/>
  <c r="M39" i="11" s="1"/>
  <c r="I10" i="11"/>
  <c r="I39" i="11" s="1"/>
  <c r="E10" i="11"/>
  <c r="E39" i="11" s="1"/>
  <c r="D9" i="11"/>
  <c r="D38" i="11" s="1"/>
  <c r="F49" i="3"/>
  <c r="F52" i="3"/>
  <c r="F47" i="3"/>
  <c r="F55" i="3"/>
  <c r="F50" i="3"/>
  <c r="R120" i="3"/>
  <c r="R121" i="3"/>
  <c r="R126" i="3"/>
  <c r="R110" i="3"/>
  <c r="D116" i="3"/>
  <c r="Q13" i="6" s="1"/>
  <c r="T13" i="6" s="1"/>
  <c r="R87" i="3"/>
  <c r="R89" i="3"/>
  <c r="R91" i="3"/>
  <c r="R114" i="3"/>
  <c r="R93" i="3"/>
  <c r="O112" i="3"/>
  <c r="D124" i="3"/>
  <c r="B11" i="4" s="1"/>
  <c r="Q11" i="4" s="1"/>
  <c r="O111" i="3"/>
  <c r="D121" i="3"/>
  <c r="B8" i="4" s="1"/>
  <c r="Q8" i="4" s="1"/>
  <c r="D69" i="3"/>
  <c r="D71" i="3"/>
  <c r="D77" i="3"/>
  <c r="N4" i="4" s="1"/>
  <c r="D89" i="3"/>
  <c r="D90" i="3"/>
  <c r="D91" i="3"/>
  <c r="F8" i="3"/>
  <c r="E109" i="3"/>
  <c r="R6" i="6" s="1"/>
  <c r="E113" i="3"/>
  <c r="R10" i="6" s="1"/>
  <c r="D118" i="3"/>
  <c r="B5" i="4" s="1"/>
  <c r="Q5" i="4" s="1"/>
  <c r="D73" i="3"/>
  <c r="D75" i="3"/>
  <c r="D82" i="3"/>
  <c r="N9" i="4" s="1"/>
  <c r="E117" i="3"/>
  <c r="C4" i="4" s="1"/>
  <c r="R4" i="4" s="1"/>
  <c r="D120" i="3"/>
  <c r="B7" i="4" s="1"/>
  <c r="Q7" i="4" s="1"/>
  <c r="F6" i="3"/>
  <c r="E90" i="3"/>
  <c r="D93" i="3"/>
  <c r="L120" i="3"/>
  <c r="D85" i="3"/>
  <c r="N12" i="4" s="1"/>
  <c r="I125" i="3"/>
  <c r="D74" i="3"/>
  <c r="I94" i="3"/>
  <c r="I95" i="3"/>
  <c r="F12" i="3"/>
  <c r="K10" i="11"/>
  <c r="K39" i="11" s="1"/>
  <c r="H10" i="11"/>
  <c r="H39" i="11" s="1"/>
  <c r="L10" i="11"/>
  <c r="L39" i="11" s="1"/>
  <c r="I8" i="11"/>
  <c r="I37" i="11" s="1"/>
  <c r="E57" i="9"/>
  <c r="F9" i="20"/>
  <c r="U6" i="20"/>
  <c r="E25" i="9"/>
  <c r="E9" i="11"/>
  <c r="E38" i="11" s="1"/>
  <c r="F5" i="20"/>
  <c r="K43" i="11"/>
  <c r="O11" i="6"/>
  <c r="P11" i="6" s="1"/>
  <c r="I43" i="11"/>
  <c r="O9" i="6"/>
  <c r="P9" i="6" s="1"/>
  <c r="J40" i="11"/>
  <c r="L10" i="6"/>
  <c r="M10" i="6" s="1"/>
  <c r="H40" i="11"/>
  <c r="L8" i="6"/>
  <c r="M8" i="6" s="1"/>
  <c r="I40" i="11"/>
  <c r="L9" i="6"/>
  <c r="M9" i="6" s="1"/>
  <c r="L43" i="11"/>
  <c r="O12" i="6"/>
  <c r="P12" i="6" s="1"/>
  <c r="J43" i="11"/>
  <c r="O10" i="6"/>
  <c r="P10" i="6" s="1"/>
  <c r="G40" i="11"/>
  <c r="L7" i="6"/>
  <c r="M7" i="6" s="1"/>
  <c r="C11" i="11"/>
  <c r="Q5" i="20"/>
  <c r="R119" i="3"/>
  <c r="AH12" i="26"/>
  <c r="I13" i="20"/>
  <c r="U14" i="20"/>
  <c r="H14" i="6"/>
  <c r="O6" i="6"/>
  <c r="P6" i="6" s="1"/>
  <c r="E12" i="6"/>
  <c r="E14" i="6" s="1"/>
  <c r="O13" i="6"/>
  <c r="P13" i="6" s="1"/>
  <c r="F10" i="3"/>
  <c r="O18" i="3"/>
  <c r="O22" i="3"/>
  <c r="F54" i="3"/>
  <c r="F56" i="3"/>
  <c r="D68" i="3"/>
  <c r="D79" i="3"/>
  <c r="N6" i="4" s="1"/>
  <c r="O88" i="3"/>
  <c r="I90" i="3"/>
  <c r="I91" i="3"/>
  <c r="D92" i="3"/>
  <c r="O93" i="3"/>
  <c r="L95" i="3"/>
  <c r="I96" i="3"/>
  <c r="I116" i="3"/>
  <c r="L117" i="3"/>
  <c r="L123" i="3"/>
  <c r="D125" i="3"/>
  <c r="B12" i="4" s="1"/>
  <c r="Q12" i="4" s="1"/>
  <c r="R125" i="3"/>
  <c r="D132" i="3"/>
  <c r="K9" i="4" s="1"/>
  <c r="D8" i="11"/>
  <c r="D37" i="11" s="1"/>
  <c r="E3" i="17"/>
  <c r="E4" i="9"/>
  <c r="G56" i="9"/>
  <c r="E78" i="9"/>
  <c r="H3" i="20"/>
  <c r="U13" i="20"/>
  <c r="S9" i="20"/>
  <c r="F11" i="3"/>
  <c r="I21" i="3"/>
  <c r="I117" i="3"/>
  <c r="L121" i="3"/>
  <c r="I7" i="20"/>
  <c r="G14" i="4"/>
  <c r="U18" i="20" s="1"/>
  <c r="L4" i="6"/>
  <c r="F14" i="3"/>
  <c r="I20" i="3"/>
  <c r="I24" i="3"/>
  <c r="F60" i="3"/>
  <c r="D72" i="3"/>
  <c r="D83" i="3"/>
  <c r="N10" i="4" s="1"/>
  <c r="D87" i="3"/>
  <c r="I92" i="3"/>
  <c r="E118" i="3"/>
  <c r="C5" i="4" s="1"/>
  <c r="R5" i="4" s="1"/>
  <c r="AI7" i="26"/>
  <c r="B14" i="6"/>
  <c r="I118" i="3"/>
  <c r="I6" i="20"/>
  <c r="I14" i="20"/>
  <c r="E11" i="6"/>
  <c r="L12" i="6"/>
  <c r="M12" i="6" s="1"/>
  <c r="F9" i="3"/>
  <c r="F59" i="3"/>
  <c r="D76" i="3"/>
  <c r="D88" i="3"/>
  <c r="D42" i="14"/>
  <c r="D81" i="14"/>
  <c r="L119" i="3"/>
  <c r="E121" i="3"/>
  <c r="C8" i="4" s="1"/>
  <c r="R8" i="4" s="1"/>
  <c r="I126" i="3"/>
  <c r="D130" i="3"/>
  <c r="K7" i="4" s="1"/>
  <c r="C25" i="11"/>
  <c r="H3" i="9"/>
  <c r="O120" i="3"/>
  <c r="C40" i="11"/>
  <c r="E129" i="9"/>
  <c r="E5" i="20"/>
  <c r="G9" i="20"/>
  <c r="F13" i="3"/>
  <c r="Q108" i="3"/>
  <c r="R108" i="3" s="1"/>
  <c r="I19" i="3"/>
  <c r="I23" i="3"/>
  <c r="O115" i="3"/>
  <c r="F48" i="3"/>
  <c r="F58" i="3"/>
  <c r="F63" i="3"/>
  <c r="D70" i="3"/>
  <c r="D80" i="3"/>
  <c r="N7" i="4" s="1"/>
  <c r="I88" i="3"/>
  <c r="I93" i="3"/>
  <c r="L96" i="3"/>
  <c r="D134" i="3"/>
  <c r="K11" i="4" s="1"/>
  <c r="D13" i="11"/>
  <c r="D42" i="11" s="1"/>
  <c r="H28" i="11"/>
  <c r="E150" i="9"/>
  <c r="D86" i="3"/>
  <c r="N13" i="4" s="1"/>
  <c r="D119" i="3"/>
  <c r="B6" i="4" s="1"/>
  <c r="Q6" i="4" s="1"/>
  <c r="R124" i="3"/>
  <c r="E9" i="20"/>
  <c r="L11" i="6"/>
  <c r="M11" i="6" s="1"/>
  <c r="F62" i="3"/>
  <c r="D84" i="3"/>
  <c r="N11" i="4" s="1"/>
  <c r="D94" i="3"/>
  <c r="D122" i="3"/>
  <c r="B9" i="4" s="1"/>
  <c r="Q9" i="4" s="1"/>
  <c r="I28" i="11"/>
  <c r="I25" i="3"/>
  <c r="I16" i="3"/>
  <c r="H108" i="3"/>
  <c r="I108" i="3" s="1"/>
  <c r="I18" i="3"/>
  <c r="R111" i="3"/>
  <c r="I22" i="3"/>
  <c r="F46" i="3"/>
  <c r="F51" i="3"/>
  <c r="D67" i="3"/>
  <c r="D78" i="3"/>
  <c r="N5" i="4" s="1"/>
  <c r="T5" i="4" s="1"/>
  <c r="D95" i="3"/>
  <c r="L115" i="3"/>
  <c r="R117" i="3"/>
  <c r="I122" i="3"/>
  <c r="D123" i="3"/>
  <c r="B10" i="4" s="1"/>
  <c r="Q10" i="4" s="1"/>
  <c r="R123" i="3"/>
  <c r="O124" i="3"/>
  <c r="D131" i="3"/>
  <c r="K8" i="4" s="1"/>
  <c r="C7" i="11"/>
  <c r="D14" i="11"/>
  <c r="C14" i="11" s="1"/>
  <c r="J28" i="11"/>
  <c r="C27" i="11"/>
  <c r="AI11" i="26"/>
  <c r="G15" i="4"/>
  <c r="I18" i="20" s="1"/>
  <c r="I107" i="3"/>
  <c r="Q107" i="3"/>
  <c r="R107" i="3" s="1"/>
  <c r="R16" i="3"/>
  <c r="J109" i="3"/>
  <c r="L109" i="3" s="1"/>
  <c r="L18" i="3"/>
  <c r="I110" i="3"/>
  <c r="I114" i="3"/>
  <c r="O113" i="3"/>
  <c r="O114" i="3"/>
  <c r="M107" i="3"/>
  <c r="D107" i="3" s="1"/>
  <c r="Q4" i="6" s="1"/>
  <c r="I111" i="3"/>
  <c r="I112" i="3"/>
  <c r="M4" i="6"/>
  <c r="I109" i="3"/>
  <c r="I113" i="3"/>
  <c r="F15" i="3"/>
  <c r="I17" i="3"/>
  <c r="M108" i="3"/>
  <c r="D108" i="3" s="1"/>
  <c r="Q5" i="6" s="1"/>
  <c r="T5" i="6" s="1"/>
  <c r="R18" i="3"/>
  <c r="P109" i="3"/>
  <c r="R109" i="3" s="1"/>
  <c r="O109" i="3"/>
  <c r="O110" i="3"/>
  <c r="E110" i="3"/>
  <c r="J111" i="3"/>
  <c r="L111" i="3" s="1"/>
  <c r="P113" i="3"/>
  <c r="D113" i="3" s="1"/>
  <c r="E114" i="3"/>
  <c r="I115" i="3"/>
  <c r="E115" i="3"/>
  <c r="E116" i="3"/>
  <c r="R116" i="3"/>
  <c r="I124" i="3"/>
  <c r="E124" i="3"/>
  <c r="C11" i="4" s="1"/>
  <c r="E125" i="3"/>
  <c r="C12" i="4" s="1"/>
  <c r="D4" i="14"/>
  <c r="D8" i="14"/>
  <c r="D12" i="14"/>
  <c r="L88" i="3"/>
  <c r="E89" i="3"/>
  <c r="I89" i="3"/>
  <c r="R90" i="3"/>
  <c r="L92" i="3"/>
  <c r="E93" i="3"/>
  <c r="R94" i="3"/>
  <c r="J110" i="3"/>
  <c r="D110" i="3" s="1"/>
  <c r="Q7" i="6" s="1"/>
  <c r="T7" i="6" s="1"/>
  <c r="P112" i="3"/>
  <c r="R112" i="3" s="1"/>
  <c r="J114" i="3"/>
  <c r="L114" i="3" s="1"/>
  <c r="P115" i="3"/>
  <c r="D115" i="3" s="1"/>
  <c r="Q12" i="6" s="1"/>
  <c r="T12" i="6" s="1"/>
  <c r="I120" i="3"/>
  <c r="E120" i="3"/>
  <c r="C7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E92" i="3"/>
  <c r="O94" i="3"/>
  <c r="E96" i="3"/>
  <c r="E112" i="3"/>
  <c r="O116" i="3"/>
  <c r="I123" i="3"/>
  <c r="L126" i="3"/>
  <c r="D10" i="14"/>
  <c r="E87" i="3"/>
  <c r="R88" i="3"/>
  <c r="L90" i="3"/>
  <c r="E91" i="3"/>
  <c r="R92" i="3"/>
  <c r="L94" i="3"/>
  <c r="E95" i="3"/>
  <c r="R96" i="3"/>
  <c r="E111" i="3"/>
  <c r="I119" i="3"/>
  <c r="E122" i="3"/>
  <c r="C9" i="4" s="1"/>
  <c r="O125" i="3"/>
  <c r="D126" i="3"/>
  <c r="B13" i="4" s="1"/>
  <c r="Q13" i="4" s="1"/>
  <c r="D41" i="14"/>
  <c r="D45" i="14"/>
  <c r="L118" i="3"/>
  <c r="E119" i="3"/>
  <c r="C6" i="4" s="1"/>
  <c r="L122" i="3"/>
  <c r="E123" i="3"/>
  <c r="C10" i="4" s="1"/>
  <c r="F36" i="11"/>
  <c r="L36" i="11"/>
  <c r="H56" i="9"/>
  <c r="AI6" i="26"/>
  <c r="AI12" i="26" s="1"/>
  <c r="D7" i="14"/>
  <c r="D80" i="14"/>
  <c r="D109" i="14"/>
  <c r="D117" i="14"/>
  <c r="D117" i="3"/>
  <c r="B4" i="4" s="1"/>
  <c r="E126" i="3"/>
  <c r="C13" i="4" s="1"/>
  <c r="C23" i="11"/>
  <c r="H36" i="11"/>
  <c r="G3" i="9"/>
  <c r="P7" i="20"/>
  <c r="F3" i="9"/>
  <c r="T7" i="20"/>
  <c r="T5" i="20" s="1"/>
  <c r="T3" i="20" s="1"/>
  <c r="J3" i="9"/>
  <c r="I56" i="9"/>
  <c r="D5" i="14"/>
  <c r="D13" i="14"/>
  <c r="D78" i="14"/>
  <c r="D115" i="14"/>
  <c r="D36" i="11"/>
  <c r="D11" i="14"/>
  <c r="D76" i="14"/>
  <c r="D113" i="14"/>
  <c r="I3" i="9"/>
  <c r="P11" i="20"/>
  <c r="U11" i="20" s="1"/>
  <c r="T11" i="20"/>
  <c r="T9" i="20" s="1"/>
  <c r="J56" i="9"/>
  <c r="D9" i="14"/>
  <c r="D74" i="14"/>
  <c r="D82" i="14"/>
  <c r="D111" i="14"/>
  <c r="C5" i="6"/>
  <c r="D5" i="6" s="1"/>
  <c r="K67" i="3"/>
  <c r="K77" i="3" s="1"/>
  <c r="L77" i="3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 s="1"/>
  <c r="N97" i="3" s="1"/>
  <c r="O97" i="3" s="1"/>
  <c r="F5" i="6"/>
  <c r="G5" i="6" s="1"/>
  <c r="F13" i="6"/>
  <c r="G13" i="6" s="1"/>
  <c r="F12" i="6"/>
  <c r="G12" i="6" s="1"/>
  <c r="F8" i="6"/>
  <c r="G8" i="6" s="1"/>
  <c r="K86" i="3"/>
  <c r="L86" i="3" s="1"/>
  <c r="L76" i="3"/>
  <c r="K106" i="3" s="1"/>
  <c r="L106" i="3" s="1"/>
  <c r="F6" i="6"/>
  <c r="G6" i="6" s="1"/>
  <c r="I7" i="6"/>
  <c r="J7" i="6" s="1"/>
  <c r="F11" i="6"/>
  <c r="G11" i="6" s="1"/>
  <c r="F7" i="6"/>
  <c r="G7" i="6" s="1"/>
  <c r="F10" i="6"/>
  <c r="G10" i="6" s="1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I10" i="6" l="1"/>
  <c r="J10" i="6" s="1"/>
  <c r="C37" i="11"/>
  <c r="F4" i="6"/>
  <c r="G4" i="6" s="1"/>
  <c r="I6" i="6"/>
  <c r="J6" i="6" s="1"/>
  <c r="F9" i="6"/>
  <c r="G9" i="6" s="1"/>
  <c r="E56" i="9"/>
  <c r="E44" i="11"/>
  <c r="O5" i="6"/>
  <c r="P5" i="6" s="1"/>
  <c r="I25" i="28"/>
  <c r="I12" i="6"/>
  <c r="J12" i="6" s="1"/>
  <c r="F56" i="9"/>
  <c r="I10" i="20"/>
  <c r="I11" i="6"/>
  <c r="J11" i="6" s="1"/>
  <c r="I13" i="6"/>
  <c r="J13" i="6" s="1"/>
  <c r="T13" i="4"/>
  <c r="E13" i="2" s="1"/>
  <c r="T10" i="4"/>
  <c r="T12" i="4"/>
  <c r="E12" i="2" s="1"/>
  <c r="T6" i="4"/>
  <c r="T4" i="4"/>
  <c r="T7" i="4"/>
  <c r="E7" i="2" s="1"/>
  <c r="K14" i="4"/>
  <c r="S5" i="4"/>
  <c r="D4" i="4"/>
  <c r="F122" i="3"/>
  <c r="F93" i="3"/>
  <c r="F125" i="3"/>
  <c r="F123" i="3"/>
  <c r="F121" i="3"/>
  <c r="F87" i="3"/>
  <c r="F126" i="3"/>
  <c r="F95" i="3"/>
  <c r="F94" i="3"/>
  <c r="S8" i="4"/>
  <c r="I9" i="6"/>
  <c r="J9" i="6" s="1"/>
  <c r="C39" i="11"/>
  <c r="I8" i="6"/>
  <c r="J8" i="6" s="1"/>
  <c r="C10" i="11"/>
  <c r="I4" i="6"/>
  <c r="J4" i="6" s="1"/>
  <c r="D8" i="4"/>
  <c r="F91" i="3"/>
  <c r="F120" i="3"/>
  <c r="B13" i="2"/>
  <c r="T9" i="4"/>
  <c r="F90" i="3"/>
  <c r="C14" i="4"/>
  <c r="F92" i="3"/>
  <c r="F96" i="3"/>
  <c r="C8" i="11"/>
  <c r="I5" i="6"/>
  <c r="J5" i="6" s="1"/>
  <c r="C38" i="11"/>
  <c r="E15" i="11"/>
  <c r="C9" i="11"/>
  <c r="E3" i="9"/>
  <c r="R115" i="3"/>
  <c r="D5" i="4"/>
  <c r="D43" i="11"/>
  <c r="C43" i="11" s="1"/>
  <c r="O4" i="6"/>
  <c r="N14" i="4"/>
  <c r="S17" i="20"/>
  <c r="S16" i="20" s="1"/>
  <c r="G17" i="20"/>
  <c r="G16" i="20" s="1"/>
  <c r="C28" i="11"/>
  <c r="R113" i="3"/>
  <c r="S4" i="20" s="1"/>
  <c r="S3" i="20" s="1"/>
  <c r="D114" i="3"/>
  <c r="Q11" i="6" s="1"/>
  <c r="T11" i="6" s="1"/>
  <c r="B11" i="2" s="1"/>
  <c r="T8" i="4"/>
  <c r="D111" i="3"/>
  <c r="Q8" i="6" s="1"/>
  <c r="T8" i="6" s="1"/>
  <c r="B8" i="2" s="1"/>
  <c r="T11" i="4"/>
  <c r="F117" i="3"/>
  <c r="R22" i="20"/>
  <c r="F124" i="3"/>
  <c r="R17" i="3"/>
  <c r="K107" i="3"/>
  <c r="L107" i="3" s="1"/>
  <c r="L16" i="3"/>
  <c r="Q22" i="20"/>
  <c r="K108" i="3"/>
  <c r="L108" i="3" s="1"/>
  <c r="L17" i="3"/>
  <c r="L14" i="6"/>
  <c r="B7" i="2"/>
  <c r="Q10" i="6"/>
  <c r="F113" i="3"/>
  <c r="B12" i="2"/>
  <c r="B5" i="2"/>
  <c r="E5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M15" i="6"/>
  <c r="M14" i="6"/>
  <c r="F88" i="3"/>
  <c r="N107" i="3"/>
  <c r="O16" i="3"/>
  <c r="D112" i="3"/>
  <c r="Q9" i="6" s="1"/>
  <c r="T9" i="6" s="1"/>
  <c r="D4" i="20"/>
  <c r="P4" i="20"/>
  <c r="R11" i="6"/>
  <c r="C36" i="11"/>
  <c r="R13" i="4"/>
  <c r="S13" i="4" s="1"/>
  <c r="D13" i="4"/>
  <c r="F119" i="3"/>
  <c r="D17" i="20"/>
  <c r="P17" i="20"/>
  <c r="S22" i="20"/>
  <c r="F89" i="3"/>
  <c r="P22" i="20"/>
  <c r="R11" i="4"/>
  <c r="S11" i="4" s="1"/>
  <c r="D11" i="4"/>
  <c r="F115" i="3"/>
  <c r="R12" i="6"/>
  <c r="S12" i="6" s="1"/>
  <c r="L110" i="3"/>
  <c r="F118" i="3"/>
  <c r="Q17" i="20"/>
  <c r="Q16" i="20" s="1"/>
  <c r="E17" i="20"/>
  <c r="E16" i="20" s="1"/>
  <c r="R7" i="4"/>
  <c r="S7" i="4" s="1"/>
  <c r="D7" i="4"/>
  <c r="U7" i="20"/>
  <c r="B14" i="4"/>
  <c r="Q4" i="4"/>
  <c r="R6" i="4"/>
  <c r="S6" i="4" s="1"/>
  <c r="D6" i="4"/>
  <c r="R17" i="20"/>
  <c r="R16" i="20" s="1"/>
  <c r="F17" i="20"/>
  <c r="F16" i="20" s="1"/>
  <c r="R8" i="6"/>
  <c r="R9" i="6"/>
  <c r="F110" i="3"/>
  <c r="R7" i="6"/>
  <c r="S7" i="6" s="1"/>
  <c r="N108" i="3"/>
  <c r="O17" i="3"/>
  <c r="T4" i="6"/>
  <c r="L67" i="3"/>
  <c r="K97" i="3" s="1"/>
  <c r="L97" i="3" s="1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E67" i="3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E75" i="3"/>
  <c r="H81" i="3"/>
  <c r="I71" i="3"/>
  <c r="E71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E76" i="3"/>
  <c r="H82" i="3"/>
  <c r="I72" i="3"/>
  <c r="E72" i="3"/>
  <c r="H78" i="3"/>
  <c r="I68" i="3"/>
  <c r="E68" i="3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L85" i="3" s="1"/>
  <c r="L75" i="3"/>
  <c r="K105" i="3" s="1"/>
  <c r="L105" i="3" s="1"/>
  <c r="K81" i="3"/>
  <c r="L81" i="3" s="1"/>
  <c r="L71" i="3"/>
  <c r="K101" i="3" s="1"/>
  <c r="L101" i="3" s="1"/>
  <c r="F14" i="6" l="1"/>
  <c r="D8" i="20"/>
  <c r="I8" i="20" s="1"/>
  <c r="F3" i="10"/>
  <c r="P8" i="20" s="1"/>
  <c r="U8" i="20" s="1"/>
  <c r="E4" i="10"/>
  <c r="E3" i="10" s="1"/>
  <c r="I28" i="28"/>
  <c r="I27" i="28"/>
  <c r="I24" i="28"/>
  <c r="F38" i="10"/>
  <c r="E38" i="10" s="1"/>
  <c r="G13" i="11" s="1"/>
  <c r="F40" i="10"/>
  <c r="E40" i="10" s="1"/>
  <c r="I13" i="11" s="1"/>
  <c r="F41" i="10"/>
  <c r="E41" i="10" s="1"/>
  <c r="J13" i="11" s="1"/>
  <c r="F43" i="10"/>
  <c r="E43" i="10" s="1"/>
  <c r="L13" i="11" s="1"/>
  <c r="F44" i="10"/>
  <c r="E44" i="10" s="1"/>
  <c r="M13" i="11" s="1"/>
  <c r="E37" i="10"/>
  <c r="F39" i="10"/>
  <c r="E39" i="10" s="1"/>
  <c r="H13" i="11" s="1"/>
  <c r="F42" i="10"/>
  <c r="E42" i="10" s="1"/>
  <c r="K13" i="11" s="1"/>
  <c r="F114" i="3"/>
  <c r="G4" i="20"/>
  <c r="G3" i="20" s="1"/>
  <c r="J14" i="6"/>
  <c r="S11" i="6"/>
  <c r="S8" i="6"/>
  <c r="U22" i="20"/>
  <c r="E11" i="2"/>
  <c r="T14" i="4"/>
  <c r="F111" i="3"/>
  <c r="J15" i="6"/>
  <c r="I14" i="6"/>
  <c r="F112" i="3"/>
  <c r="E4" i="20"/>
  <c r="E3" i="20" s="1"/>
  <c r="O14" i="6"/>
  <c r="P4" i="6"/>
  <c r="D15" i="4"/>
  <c r="E8" i="2"/>
  <c r="S9" i="6"/>
  <c r="Q14" i="4"/>
  <c r="B4" i="2"/>
  <c r="O107" i="3"/>
  <c r="E107" i="3"/>
  <c r="R14" i="4"/>
  <c r="O108" i="3"/>
  <c r="E108" i="3"/>
  <c r="T10" i="6"/>
  <c r="S10" i="6"/>
  <c r="E4" i="2"/>
  <c r="S4" i="4"/>
  <c r="Q4" i="20"/>
  <c r="Q3" i="20" s="1"/>
  <c r="B9" i="2"/>
  <c r="E9" i="2"/>
  <c r="D14" i="4"/>
  <c r="I17" i="20"/>
  <c r="D16" i="20"/>
  <c r="I16" i="20" s="1"/>
  <c r="Q6" i="6"/>
  <c r="F109" i="3"/>
  <c r="P16" i="20"/>
  <c r="U16" i="20" s="1"/>
  <c r="U17" i="20"/>
  <c r="F130" i="3"/>
  <c r="F133" i="3"/>
  <c r="Q20" i="20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R21" i="20"/>
  <c r="F21" i="20"/>
  <c r="F72" i="3"/>
  <c r="H102" i="3"/>
  <c r="I86" i="3"/>
  <c r="F86" i="3" s="1"/>
  <c r="E86" i="3"/>
  <c r="O13" i="4" s="1"/>
  <c r="P13" i="4" s="1"/>
  <c r="S20" i="20"/>
  <c r="G20" i="20"/>
  <c r="Q21" i="20"/>
  <c r="E21" i="20"/>
  <c r="I77" i="3"/>
  <c r="E77" i="3"/>
  <c r="O4" i="4" s="1"/>
  <c r="H104" i="3"/>
  <c r="F74" i="3"/>
  <c r="F68" i="3"/>
  <c r="H98" i="3"/>
  <c r="I82" i="3"/>
  <c r="F82" i="3" s="1"/>
  <c r="E82" i="3"/>
  <c r="O9" i="4" s="1"/>
  <c r="P9" i="4" s="1"/>
  <c r="G15" i="6"/>
  <c r="G14" i="6"/>
  <c r="F75" i="3"/>
  <c r="H105" i="3"/>
  <c r="H100" i="3"/>
  <c r="F70" i="3"/>
  <c r="F73" i="3"/>
  <c r="H103" i="3"/>
  <c r="E20" i="20"/>
  <c r="I78" i="3"/>
  <c r="F78" i="3" s="1"/>
  <c r="E78" i="3"/>
  <c r="O5" i="4" s="1"/>
  <c r="P5" i="4" s="1"/>
  <c r="F20" i="20"/>
  <c r="R20" i="20"/>
  <c r="F71" i="3"/>
  <c r="H101" i="3"/>
  <c r="I85" i="3"/>
  <c r="F85" i="3" s="1"/>
  <c r="E85" i="3"/>
  <c r="O12" i="4" s="1"/>
  <c r="P12" i="4" s="1"/>
  <c r="I84" i="3"/>
  <c r="F84" i="3" s="1"/>
  <c r="E84" i="3"/>
  <c r="O11" i="4" s="1"/>
  <c r="P11" i="4" s="1"/>
  <c r="F69" i="3"/>
  <c r="H99" i="3"/>
  <c r="I83" i="3"/>
  <c r="F83" i="3" s="1"/>
  <c r="E83" i="3"/>
  <c r="O10" i="4" s="1"/>
  <c r="P10" i="4" s="1"/>
  <c r="F76" i="3"/>
  <c r="H106" i="3"/>
  <c r="S21" i="20"/>
  <c r="G21" i="20"/>
  <c r="I81" i="3"/>
  <c r="F81" i="3" s="1"/>
  <c r="E81" i="3"/>
  <c r="O8" i="4" s="1"/>
  <c r="P8" i="4" s="1"/>
  <c r="H97" i="3"/>
  <c r="F67" i="3"/>
  <c r="I80" i="3"/>
  <c r="F80" i="3" s="1"/>
  <c r="E80" i="3"/>
  <c r="O7" i="4" s="1"/>
  <c r="P7" i="4" s="1"/>
  <c r="I79" i="3"/>
  <c r="F79" i="3" s="1"/>
  <c r="E79" i="3"/>
  <c r="O6" i="4" s="1"/>
  <c r="P6" i="4" s="1"/>
  <c r="D5" i="20" l="1"/>
  <c r="I5" i="20" s="1"/>
  <c r="D12" i="11"/>
  <c r="C4" i="6" s="1"/>
  <c r="P5" i="20"/>
  <c r="U5" i="20" s="1"/>
  <c r="H42" i="11"/>
  <c r="H44" i="11" s="1"/>
  <c r="C8" i="6"/>
  <c r="H15" i="11"/>
  <c r="E34" i="10"/>
  <c r="F13" i="11"/>
  <c r="J42" i="11"/>
  <c r="J44" i="11" s="1"/>
  <c r="C10" i="6"/>
  <c r="J15" i="11"/>
  <c r="M42" i="11"/>
  <c r="M44" i="11" s="1"/>
  <c r="C13" i="6"/>
  <c r="M15" i="11"/>
  <c r="L42" i="11"/>
  <c r="L44" i="11" s="1"/>
  <c r="C12" i="6"/>
  <c r="L15" i="11"/>
  <c r="F34" i="10"/>
  <c r="P12" i="20" s="1"/>
  <c r="I42" i="11"/>
  <c r="I44" i="11" s="1"/>
  <c r="C9" i="6"/>
  <c r="I15" i="11"/>
  <c r="D12" i="20"/>
  <c r="G42" i="11"/>
  <c r="G44" i="11" s="1"/>
  <c r="C7" i="6"/>
  <c r="G15" i="11"/>
  <c r="K42" i="11"/>
  <c r="K44" i="11" s="1"/>
  <c r="C11" i="6"/>
  <c r="K15" i="11"/>
  <c r="P14" i="6"/>
  <c r="P15" i="6"/>
  <c r="E10" i="2"/>
  <c r="B10" i="2"/>
  <c r="R4" i="20"/>
  <c r="R3" i="20" s="1"/>
  <c r="F4" i="20"/>
  <c r="T6" i="6"/>
  <c r="S6" i="6"/>
  <c r="Q14" i="6"/>
  <c r="S15" i="4"/>
  <c r="S14" i="4"/>
  <c r="F108" i="3"/>
  <c r="R5" i="6"/>
  <c r="F107" i="3"/>
  <c r="R4" i="6"/>
  <c r="R19" i="20"/>
  <c r="R15" i="20" s="1"/>
  <c r="Q19" i="20"/>
  <c r="Q15" i="20" s="1"/>
  <c r="I23" i="20"/>
  <c r="M14" i="4"/>
  <c r="M15" i="4"/>
  <c r="U23" i="20"/>
  <c r="F19" i="20"/>
  <c r="F15" i="20" s="1"/>
  <c r="E19" i="20"/>
  <c r="E15" i="20" s="1"/>
  <c r="E98" i="3"/>
  <c r="I5" i="4" s="1"/>
  <c r="I98" i="3"/>
  <c r="F98" i="3" s="1"/>
  <c r="O14" i="4"/>
  <c r="P4" i="4"/>
  <c r="G19" i="20"/>
  <c r="G15" i="20" s="1"/>
  <c r="E102" i="3"/>
  <c r="I9" i="4" s="1"/>
  <c r="I102" i="3"/>
  <c r="F102" i="3" s="1"/>
  <c r="I101" i="3"/>
  <c r="F101" i="3" s="1"/>
  <c r="E101" i="3"/>
  <c r="I8" i="4" s="1"/>
  <c r="E100" i="3"/>
  <c r="I7" i="4" s="1"/>
  <c r="I100" i="3"/>
  <c r="F100" i="3" s="1"/>
  <c r="F77" i="3"/>
  <c r="D21" i="20"/>
  <c r="I21" i="20" s="1"/>
  <c r="P21" i="20"/>
  <c r="U21" i="20" s="1"/>
  <c r="S19" i="20"/>
  <c r="S15" i="20" s="1"/>
  <c r="E103" i="3"/>
  <c r="I10" i="4" s="1"/>
  <c r="I103" i="3"/>
  <c r="F103" i="3" s="1"/>
  <c r="I105" i="3"/>
  <c r="F105" i="3" s="1"/>
  <c r="E105" i="3"/>
  <c r="I12" i="4" s="1"/>
  <c r="I97" i="3"/>
  <c r="E97" i="3"/>
  <c r="I4" i="4" s="1"/>
  <c r="E106" i="3"/>
  <c r="I13" i="4" s="1"/>
  <c r="I106" i="3"/>
  <c r="F106" i="3" s="1"/>
  <c r="E99" i="3"/>
  <c r="I6" i="4" s="1"/>
  <c r="I99" i="3"/>
  <c r="F99" i="3" s="1"/>
  <c r="E104" i="3"/>
  <c r="I11" i="4" s="1"/>
  <c r="I104" i="3"/>
  <c r="F104" i="3" s="1"/>
  <c r="D41" i="11" l="1"/>
  <c r="D44" i="11" s="1"/>
  <c r="C12" i="11"/>
  <c r="D15" i="11"/>
  <c r="I12" i="20"/>
  <c r="D9" i="20"/>
  <c r="D13" i="6"/>
  <c r="U13" i="6"/>
  <c r="D7" i="6"/>
  <c r="U7" i="6"/>
  <c r="D11" i="6"/>
  <c r="U11" i="6"/>
  <c r="D9" i="6"/>
  <c r="U9" i="6"/>
  <c r="D4" i="6"/>
  <c r="D12" i="6"/>
  <c r="U12" i="6"/>
  <c r="F42" i="11"/>
  <c r="C6" i="6"/>
  <c r="C14" i="6" s="1"/>
  <c r="C13" i="11"/>
  <c r="F15" i="11"/>
  <c r="U12" i="20"/>
  <c r="P9" i="20"/>
  <c r="D10" i="6"/>
  <c r="U10" i="6"/>
  <c r="D8" i="6"/>
  <c r="U8" i="6"/>
  <c r="S4" i="6"/>
  <c r="R14" i="6"/>
  <c r="U4" i="6"/>
  <c r="F3" i="20"/>
  <c r="I4" i="20"/>
  <c r="B6" i="2"/>
  <c r="E6" i="2"/>
  <c r="E14" i="2" s="1"/>
  <c r="T14" i="6"/>
  <c r="S5" i="6"/>
  <c r="U5" i="6"/>
  <c r="U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P20" i="20"/>
  <c r="D20" i="20"/>
  <c r="J8" i="4"/>
  <c r="U8" i="4"/>
  <c r="J5" i="4"/>
  <c r="U5" i="4"/>
  <c r="C41" i="11" l="1"/>
  <c r="C15" i="11"/>
  <c r="U9" i="20"/>
  <c r="P3" i="20"/>
  <c r="U3" i="20" s="1"/>
  <c r="V12" i="6"/>
  <c r="C12" i="2"/>
  <c r="D12" i="2" s="1"/>
  <c r="I12" i="2" s="1"/>
  <c r="V13" i="6"/>
  <c r="C13" i="2"/>
  <c r="D13" i="2" s="1"/>
  <c r="I13" i="2" s="1"/>
  <c r="D6" i="6"/>
  <c r="D14" i="6" s="1"/>
  <c r="U6" i="6"/>
  <c r="F6" i="2" s="1"/>
  <c r="G6" i="2" s="1"/>
  <c r="J6" i="2" s="1"/>
  <c r="V9" i="6"/>
  <c r="C9" i="2"/>
  <c r="D9" i="2" s="1"/>
  <c r="I9" i="2" s="1"/>
  <c r="C11" i="2"/>
  <c r="D11" i="2" s="1"/>
  <c r="I11" i="2" s="1"/>
  <c r="V11" i="6"/>
  <c r="V7" i="6"/>
  <c r="C7" i="2"/>
  <c r="D7" i="2" s="1"/>
  <c r="I7" i="2" s="1"/>
  <c r="C8" i="2"/>
  <c r="D8" i="2" s="1"/>
  <c r="I8" i="2" s="1"/>
  <c r="V8" i="6"/>
  <c r="C10" i="2"/>
  <c r="D10" i="2" s="1"/>
  <c r="I10" i="2" s="1"/>
  <c r="V10" i="6"/>
  <c r="C42" i="11"/>
  <c r="F44" i="11"/>
  <c r="C44" i="11" s="1"/>
  <c r="I9" i="20"/>
  <c r="D3" i="20"/>
  <c r="I3" i="20" s="1"/>
  <c r="V5" i="6"/>
  <c r="C5" i="2"/>
  <c r="D5" i="2" s="1"/>
  <c r="I5" i="2" s="1"/>
  <c r="C4" i="2"/>
  <c r="V4" i="6"/>
  <c r="B14" i="2"/>
  <c r="S15" i="6"/>
  <c r="S14" i="6"/>
  <c r="V8" i="4"/>
  <c r="F8" i="2"/>
  <c r="G8" i="2" s="1"/>
  <c r="J8" i="2" s="1"/>
  <c r="V4" i="4"/>
  <c r="U14" i="4"/>
  <c r="F4" i="2"/>
  <c r="V13" i="4"/>
  <c r="F13" i="2"/>
  <c r="G13" i="2" s="1"/>
  <c r="J13" i="2" s="1"/>
  <c r="V6" i="4"/>
  <c r="V7" i="4"/>
  <c r="F7" i="2"/>
  <c r="G7" i="2" s="1"/>
  <c r="J7" i="2" s="1"/>
  <c r="J14" i="4"/>
  <c r="J15" i="4"/>
  <c r="V5" i="4"/>
  <c r="F5" i="2"/>
  <c r="G5" i="2" s="1"/>
  <c r="J5" i="2" s="1"/>
  <c r="I20" i="20"/>
  <c r="D19" i="20"/>
  <c r="V12" i="4"/>
  <c r="F12" i="2"/>
  <c r="G12" i="2" s="1"/>
  <c r="J12" i="2" s="1"/>
  <c r="V11" i="4"/>
  <c r="F11" i="2"/>
  <c r="G11" i="2" s="1"/>
  <c r="J11" i="2" s="1"/>
  <c r="V10" i="4"/>
  <c r="F10" i="2"/>
  <c r="G10" i="2" s="1"/>
  <c r="J10" i="2" s="1"/>
  <c r="U20" i="20"/>
  <c r="P19" i="20"/>
  <c r="V9" i="4"/>
  <c r="F9" i="2"/>
  <c r="G9" i="2" s="1"/>
  <c r="J9" i="2" s="1"/>
  <c r="U14" i="6" l="1"/>
  <c r="D15" i="6"/>
  <c r="C6" i="2"/>
  <c r="D6" i="2" s="1"/>
  <c r="I6" i="2" s="1"/>
  <c r="V6" i="6"/>
  <c r="V15" i="6" s="1"/>
  <c r="D4" i="2"/>
  <c r="V14" i="4"/>
  <c r="V15" i="4"/>
  <c r="U19" i="20"/>
  <c r="P15" i="20"/>
  <c r="U15" i="20" s="1"/>
  <c r="I19" i="20"/>
  <c r="D15" i="20"/>
  <c r="I15" i="20" s="1"/>
  <c r="F14" i="2"/>
  <c r="G4" i="2"/>
  <c r="V14" i="6" l="1"/>
  <c r="C14" i="2"/>
  <c r="D14" i="2"/>
  <c r="I4" i="2"/>
  <c r="I14" i="2" s="1"/>
  <c r="J21" i="2" s="1"/>
  <c r="J17" i="2"/>
  <c r="B2" i="7" s="1"/>
  <c r="J4" i="2"/>
  <c r="J19" i="2"/>
  <c r="G14" i="2"/>
  <c r="O7" i="7" l="1"/>
  <c r="R7" i="7"/>
  <c r="L7" i="7"/>
  <c r="I7" i="7"/>
  <c r="F7" i="7"/>
  <c r="C7" i="7"/>
  <c r="C26" i="7"/>
  <c r="C42" i="7"/>
  <c r="K4" i="2"/>
  <c r="J14" i="2"/>
  <c r="J22" i="2" s="1"/>
  <c r="K5" i="2" l="1"/>
  <c r="K6" i="2" s="1"/>
  <c r="K7" i="2" s="1"/>
  <c r="K8" i="2" s="1"/>
  <c r="K9" i="2" s="1"/>
  <c r="K10" i="2" s="1"/>
  <c r="K11" i="2" s="1"/>
  <c r="K12" i="2" s="1"/>
  <c r="K13" i="2" s="1"/>
  <c r="L4" i="2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<sst xmlns="http://schemas.openxmlformats.org/spreadsheetml/2006/main" count="1701" uniqueCount="448">
  <si>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</si>
  <si>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</si>
  <si>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</si>
  <si>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</si>
  <si>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</si>
  <si>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</si>
  <si>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</si>
  <si>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</si>
  <si>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</si>
  <si>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</si>
  <si>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</si>
  <si>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</si>
  <si>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</si>
  <si>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</si>
  <si>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</si>
  <si>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</si>
  <si>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</si>
  <si>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</si>
  <si>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</si>
  <si>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</si>
  <si>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</si>
  <si>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</si>
  <si>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</si>
  <si>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</si>
  <si>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</si>
  <si>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</si>
  <si>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</si>
  <si>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</si>
  <si>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</si>
  <si>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</si>
  <si>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</si>
  <si>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</si>
  <si>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</si>
  <si>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</si>
  <si>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</si>
  <si>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</si>
  <si>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</si>
  <si>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</si>
  <si>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</si>
  <si>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</si>
  <si>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</si>
  <si>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</si>
  <si>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</si>
  <si>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</si>
  <si>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</si>
  <si>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</si>
  <si>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</si>
  <si>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</si>
  <si>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</si>
  <si>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</si>
  <si>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</si>
  <si>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</si>
  <si>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</si>
  <si>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</si>
  <si>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</si>
  <si>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</si>
  <si>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</si>
  <si>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</si>
  <si>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</si>
  <si>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</si>
  <si>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</si>
  <si>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</si>
  <si>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</si>
  <si>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</si>
  <si>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</si>
  <si>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</si>
  <si>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</si>
  <si>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</si>
  <si>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</si>
  <si>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</si>
  <si>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</si>
  <si>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</si>
  <si>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</si>
  <si>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</si>
  <si>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</si>
  <si>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</si>
  <si>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</si>
  <si>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</si>
  <si>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</si>
  <si>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</si>
  <si>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</si>
  <si>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</si>
  <si>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</si>
  <si>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</si>
  <si>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</si>
  <si>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</si>
  <si>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</si>
  <si>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</si>
  <si>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</si>
  <si>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</si>
  <si>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</si>
  <si>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</si>
  <si>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</si>
  <si>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</si>
  <si>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</si>
  <si>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</si>
  <si>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</si>
  <si>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</si>
  <si>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</si>
  <si>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</si>
  <si>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</si>
  <si>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</si>
  <si>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</si>
  <si>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</si>
  <si>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</si>
  <si>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</si>
  <si>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</si>
  <si>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</si>
  <si>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</si>
  <si>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</si>
  <si>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</si>
  <si>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</si>
  <si>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</si>
  <si>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</si>
  <si>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</si>
  <si>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</si>
  <si>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</si>
  <si>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</si>
  <si>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</si>
  <si>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</si>
  <si>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</si>
  <si>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</si>
  <si>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</si>
  <si>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</si>
  <si>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</si>
  <si>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</si>
  <si>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</si>
  <si>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</si>
  <si>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</si>
  <si>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</si>
  <si>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</si>
  <si>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</si>
  <si>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</si>
  <si>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</si>
  <si>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</si>
  <si>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</si>
  <si>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</si>
  <si>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</si>
  <si>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</si>
  <si>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</si>
  <si>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</si>
  <si>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</si>
  <si>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</si>
  <si>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</si>
  <si>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</si>
  <si>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</si>
  <si>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</si>
  <si>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</si>
  <si>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</si>
  <si>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</si>
  <si>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</si>
  <si>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</si>
  <si>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</si>
  <si>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</si>
  <si>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</si>
  <si>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</si>
  <si>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</si>
  <si>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</si>
  <si>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</si>
  <si>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</si>
  <si>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</si>
  <si>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</si>
  <si>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</si>
  <si>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</si>
  <si>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</si>
  <si>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</si>
  <si>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</si>
  <si>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</si>
  <si>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</si>
  <si>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</si>
  <si>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</si>
  <si>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</si>
  <si>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</si>
  <si>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</si>
  <si>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</si>
  <si>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</si>
  <si>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</si>
  <si>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</si>
  <si>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</si>
  <si>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</si>
  <si>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</si>
  <si>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</si>
  <si>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</si>
  <si>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</si>
  <si>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</si>
  <si>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</si>
  <si>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</si>
  <si>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</si>
  <si>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</si>
  <si>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</si>
  <si>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</si>
  <si>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</si>
  <si>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</si>
  <si>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</si>
  <si>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</si>
  <si>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</si>
  <si>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</si>
  <si>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</si>
  <si>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</si>
  <si>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</si>
  <si>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</si>
  <si>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</si>
  <si>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</si>
  <si>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</si>
  <si>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</si>
  <si>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</si>
  <si>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</si>
  <si>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</si>
  <si>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</si>
  <si>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</si>
  <si>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</si>
  <si>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</si>
  <si>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</si>
  <si>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</si>
  <si>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</si>
  <si>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</si>
  <si>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</si>
  <si>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</si>
  <si>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</si>
  <si>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</si>
  <si>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</si>
  <si>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</si>
  <si>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</si>
  <si>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</si>
  <si>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</si>
  <si>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</si>
  <si>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</si>
  <si>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</si>
  <si>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</si>
  <si>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</si>
  <si>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</si>
  <si>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</si>
  <si>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</si>
  <si>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</si>
  <si>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</si>
  <si>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</si>
  <si>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</si>
  <si>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</si>
  <si>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</si>
  <si>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</si>
  <si>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</si>
  <si>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</si>
  <si>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</si>
  <si>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</si>
  <si>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</si>
  <si>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</si>
  <si>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</si>
  <si>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</si>
  <si>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</si>
  <si>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</si>
  <si>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</si>
  <si>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</si>
  <si>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</si>
  <si>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</si>
  <si>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</si>
  <si>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</si>
  <si>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</si>
  <si>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</si>
  <si>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</si>
  <si>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</si>
  <si>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</si>
  <si>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</si>
  <si>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</si>
  <si>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</si>
  <si>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</si>
  <si>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</si>
  <si>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</si>
  <si>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</si>
  <si>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</si>
  <si>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</si>
  <si>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</si>
  <si>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</si>
  <si>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</si>
  <si>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</si>
  <si>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</si>
  <si>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</si>
  <si>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</si>
  <si>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</si>
  <si>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</si>
  <si>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</si>
  <si>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</si>
  <si>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</si>
  <si>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</si>
  <si>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</si>
  <si>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</si>
  <si>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</si>
  <si>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</si>
  <si>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</si>
  <si>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</si>
  <si>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</si>
  <si>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</si>
  <si>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</si>
  <si>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</si>
  <si>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</si>
  <si>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</si>
  <si>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</si>
  <si>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</si>
  <si>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</si>
  <si>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</si>
  <si>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</si>
  <si>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</si>
  <si>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</si>
  <si>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</si>
  <si>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</si>
  <si>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</si>
  <si>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</si>
  <si>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</si>
  <si>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</si>
  <si>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</si>
  <si>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</si>
  <si>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</si>
  <si>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</si>
  <si>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</si>
  <si>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</si>
  <si>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</si>
  <si>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</si>
  <si>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</si>
  <si>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</si>
  <si>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</si>
  <si>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</si>
  <si>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Položka</t>
  </si>
  <si>
    <t>Merná jednotka</t>
  </si>
  <si>
    <t>Počet</t>
  </si>
  <si>
    <t>Jednotková cena (eur)</t>
  </si>
  <si>
    <t>Zdroj ceny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</si>
  <si>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</si>
  <si>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</si>
  <si>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</si>
  <si>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</si>
  <si>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</si>
  <si>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</si>
  <si>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</si>
  <si>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</si>
  <si>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</si>
  <si>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</si>
  <si>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</si>
  <si>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</si>
  <si>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</si>
  <si>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</si>
  <si>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</si>
  <si>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</si>
  <si>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</si>
  <si>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</si>
  <si>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</si>
  <si>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</si>
  <si>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</si>
  <si>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</si>
  <si>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</si>
  <si>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</si>
  <si>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</si>
  <si>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</si>
  <si>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</si>
  <si>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Analýza a dizajn</t>
  </si>
  <si>
    <t>IT architekt</t>
  </si>
  <si>
    <t>IT analytik</t>
  </si>
  <si>
    <t>IT tester</t>
  </si>
  <si>
    <t>Implementácia</t>
  </si>
  <si>
    <t>Testovanie</t>
  </si>
  <si>
    <t>Školiteľ pre IT systémy</t>
  </si>
  <si>
    <t>Nasadenie</t>
  </si>
  <si>
    <t>Podporné aktivity</t>
  </si>
  <si>
    <t>Aktivita</t>
  </si>
  <si>
    <t>Názov výdavku</t>
  </si>
  <si>
    <t>MJ</t>
  </si>
  <si>
    <t xml:space="preserve">Jednotková cena bez DPH (v EUR) </t>
  </si>
  <si>
    <t xml:space="preserve">Počet jednotiek </t>
  </si>
  <si>
    <t>Spolu bez DPH (v EUR)</t>
  </si>
  <si>
    <t>s DPH</t>
  </si>
  <si>
    <t>ČD</t>
  </si>
  <si>
    <t>Špecialista pre bezpečnosť IT</t>
  </si>
  <si>
    <t>Špecialista pre databázy</t>
  </si>
  <si>
    <t>Projektový manažér IT projektu</t>
  </si>
  <si>
    <t>IT programátor/vývojár</t>
  </si>
  <si>
    <t>Špecialista pre infraštruktúry/HW špecialista</t>
  </si>
  <si>
    <t>Pozícia </t>
  </si>
  <si>
    <t>Limity podľa Príručky pre oprávnenosť výdavkov PO7 OPII </t>
  </si>
  <si>
    <t>Max. suma za 1 ČD v EUR bez </t>
  </si>
  <si>
    <t>Max. % podiel pozície na celkovom počte ČD v rámci riešenia, ktoré je predmetom projektu </t>
  </si>
  <si>
    <t>Počet MDs podľa aktuálneho rozpočtu</t>
  </si>
  <si>
    <t>% podiel podľa aktuáneho rozpočtu</t>
  </si>
  <si>
    <t>10 % </t>
  </si>
  <si>
    <t> 15 % </t>
  </si>
  <si>
    <t> 60 % </t>
  </si>
  <si>
    <t> 4 % </t>
  </si>
  <si>
    <t> 50 % </t>
  </si>
  <si>
    <t>Odborník pre IT dohľad/Quality Assurance</t>
  </si>
  <si>
    <t> 5 % </t>
  </si>
  <si>
    <t> 10 % </t>
  </si>
  <si>
    <t> 30 % </t>
  </si>
  <si>
    <t>IT/IS konzultant (napr. SAP)</t>
  </si>
  <si>
    <t>Iné (pozícia, ktorú nie je možné zaradiť do vyššie uvedených pozícií)</t>
  </si>
  <si>
    <t> 20 % </t>
  </si>
  <si>
    <r>
      <t> </t>
    </r>
    <r>
      <rPr>
        <sz val="12"/>
        <color theme="1"/>
        <rFont val="Arial"/>
        <family val="2"/>
      </rPr>
      <t> </t>
    </r>
  </si>
  <si>
    <t>Publicita projektu</t>
  </si>
  <si>
    <t>Suma za 1 ČD bez DPH v rámci projektu</t>
  </si>
  <si>
    <t>Koncová služba/funkcionalita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</si>
  <si>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</si>
  <si>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</si>
  <si>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Priemerná mesačná hrubá mzda v národnom hospodárstve SR za 1. - 4. Q./2019 (obdobie aktualizovať k času predloženia dokumentu), podľa ŠÚ SR</t>
  </si>
  <si>
    <t>Priemerná mesačná hrubá mzda vo verejnej správe za 1. - 4. Q./2019 (obdobie aktualizovať k času predloženia dokumentu), podľa ŠÚ SR</t>
  </si>
  <si>
    <t>SW licencie</t>
  </si>
  <si>
    <t>licencia</t>
  </si>
  <si>
    <t>set</t>
  </si>
  <si>
    <t>Rozpočet VÝVOJ</t>
  </si>
  <si>
    <t>Rozpočet projektu s DPH</t>
  </si>
  <si>
    <t>z rozvoja</t>
  </si>
  <si>
    <t>z celku</t>
  </si>
  <si>
    <t>IS IoT integračná a analytická platforma</t>
  </si>
  <si>
    <r>
      <rPr>
        <b/>
        <sz val="11"/>
        <color theme="1"/>
        <rFont val="Calibri"/>
        <family val="2"/>
        <charset val="238"/>
        <scheme val="minor"/>
      </rPr>
      <t>Oblasť parkovanie:</t>
    </r>
    <r>
      <rPr>
        <sz val="11"/>
        <color theme="1"/>
        <rFont val="Calibri"/>
        <family val="2"/>
        <charset val="238"/>
        <scheme val="minor"/>
      </rPr>
      <t xml:space="preserve"> Zmluva s Orange - 804 EUR mesačne po dobu 18 mesiacov (v T1-12 a v T2 -6)
</t>
    </r>
    <r>
      <rPr>
        <b/>
        <sz val="11"/>
        <color theme="1"/>
        <rFont val="Calibri"/>
        <family val="2"/>
        <charset val="238"/>
        <scheme val="minor"/>
      </rPr>
      <t>Oblasť odpady:</t>
    </r>
    <r>
      <rPr>
        <sz val="11"/>
        <color theme="1"/>
        <rFont val="Calibri"/>
        <family val="2"/>
        <charset val="238"/>
        <scheme val="minor"/>
      </rPr>
      <t xml:space="preserve"> Zmluva s PERRY SOFT s.r.o. - 2.390 EUR jednorázovo + 350 mesačne (zmluva platí do 10/2023)</t>
    </r>
  </si>
  <si>
    <t>Infraštruktúra - platforma a dispešing</t>
  </si>
  <si>
    <t>IoT platforma + 1 rok support</t>
  </si>
  <si>
    <t>Cenova_ponuka_GRISSP.pdf</t>
  </si>
  <si>
    <t>IKT infraštruktúra + licencie</t>
  </si>
  <si>
    <t>Cenova_ponuka_nnetcom.pdf
https://edshop.edsystem.sk/hp-hdd-msa-600gb-12g-sas-10k-2-5in-ent-hdd-renew-j9f46a/product-555994</t>
  </si>
  <si>
    <t>IKT pre dispečing kamerového systému</t>
  </si>
  <si>
    <t>Cenova_ponuka_pegoNet.pdf</t>
  </si>
  <si>
    <t>Licencie NVR kamerového systému</t>
  </si>
  <si>
    <t>Dispečing infraštruktúra</t>
  </si>
  <si>
    <t>Infraštruktúra pre zber dát z kamerového systému</t>
  </si>
  <si>
    <t>https://online.asbis.sk/hp-proliant-dl20-g10-e-2224-1p-8g-s100i-2xlff-nhp-2-port-332i-1gb-290w-svr_d617789.html
https://online.asbis.sk/hp-1tb-6g-sata-7-2k-rpm-lff-3-5in-non-hot-plug-standard-1yr-warranty-hard-drive_d332918.html
Cenova_ponuka_pegoNet.pdf</t>
  </si>
  <si>
    <t>Statická doprava</t>
  </si>
  <si>
    <t>Analytická kamera s funkciou rozpoznanie ŠPZ</t>
  </si>
  <si>
    <t>Cenova_ponuka_TSS Group.pdf
Cenova_ponuka_pegoNet.pdf</t>
  </si>
  <si>
    <t>Radar na meranie rýchlosti s LED panelom</t>
  </si>
  <si>
    <t>Energetický manažment</t>
  </si>
  <si>
    <t>Zariadenia pre monitorvanie spotreby v budovách</t>
  </si>
  <si>
    <t>Monitoring spotreby vody</t>
  </si>
  <si>
    <t>https://www.empiria.sk/Prilohy/254170004689_0.pdf
https://www.empiria.sk/Prilohy/254170004689_0.pdf</t>
  </si>
  <si>
    <t>Monitoring spotreba elektriky</t>
  </si>
  <si>
    <t>https://www.schrack.sk/eshop/ovladacie-a-meracie-pristroje/elektromery/elektromery-diz-schvalene-urcene-meradla-podla-tsk/elektromer-diz-s1e3-3-fazovy-x-5a-400v-modbus-gen-g-lp-skemh1019.html</t>
  </si>
  <si>
    <t>Monitoring plynového kúrenia</t>
  </si>
  <si>
    <t>https://www.mirad.sk/tovar/98687/plynomer-podruz-bk-g4-m-a-100-dn25-absolut-encoder-ae5-acm-m-bus-wire
https://www.empiria.sk/Prilohy/254170004689_0.pdf
https://www.empiria.sk/Prilohy/254170004689_0.pdf
https://papouch.com/tqs4-p-prilozny-teplomer-na-potrubi-rs485-p3626/?currency=eur</t>
  </si>
  <si>
    <t>Monitoring spotreba tepla</t>
  </si>
  <si>
    <t>http://eshop.ptacek.sk/detail-produktu.aspx?wlQgymnnJAc8jB9lC0GP7hUEcI54JwTt</t>
  </si>
  <si>
    <t>Datalogger pre monitorovanie kotolne</t>
  </si>
  <si>
    <t>Životné prostredie</t>
  </si>
  <si>
    <t>Meteostanica</t>
  </si>
  <si>
    <t>Senzor kvality ovzdušia</t>
  </si>
  <si>
    <t>Cenova_ponuka_GRISSP.pdf
https://www.ecoprodukt.sk/solarne.panely/solarne.ostrovne.systemy/solarny.system.polykrystalicky.30wp
https://www.aku-shop.sk/olovene-sla-baterie/akumulator-fg21803-fiamm-original/d1.86.FIA.2.11
https://eshop.vikon.sk/400x500x175mm-rozvadzac-plastovy-prazdny-ip65-g163127.html</t>
  </si>
  <si>
    <t>Datalogger</t>
  </si>
  <si>
    <t>LED panel pre zobrazenie údajov</t>
  </si>
  <si>
    <t>Cenova_ponuka_ALEF.pdf
Cenova_ponuka_GRISSP.pdf</t>
  </si>
  <si>
    <t>Dynamická doprava a bezpečnosť</t>
  </si>
  <si>
    <t>Premenlivé dopravné značenie - voľné parkovacie miesta</t>
  </si>
  <si>
    <t>Komunikačná infraštruktúra pre kamerový systém</t>
  </si>
  <si>
    <t xml:space="preserve">https://www.distrelec.sk/sk/napajeci-zdroj-na-listu-din-13-8v-5a-100w-nastavitelny-mean-well-drc-100a/p/30010732?gclid=Cj0KCQjwgJv4BRCrARIsAB17JI78auppECdfGNZ_ryBiEaloWocOm-tjNB2UNp3IUgRpBReRWiGqsU8aAgW3EALw_wcB&amp;ext_cid=gpgooaqsksk-mmpn&amp;ext_cid=gpgooaqsksk-mmpn&amp;kw=%7Bkeyword%7D&amp;kw=%2Bdrc-100a
https://www.aku-shop.sk/olovene-sla-baterie/akumulator-fgc24204-hlboky-cyklus-fiamm-original/d1.86.FIA.3.4
</t>
  </si>
  <si>
    <t>https://www.bellimpex.sk/bx-1-300s-4.html
https://www.znacenie.shop/produkt/merac-rychlosti-450/
https://eshop.vikon.sk/400x500x175mm-rozvadzac-plastovy-prazdny-ip65-g163127.html</t>
  </si>
  <si>
    <t>Celková suma (eur)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</si>
</sst>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</numFmts>
  <fonts count="8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0"/>
      <name val="Arial Narrow"/>
      <family val="2"/>
    </font>
    <font>
      <b/>
      <sz val="12"/>
      <name val="Arial Narrow"/>
      <family val="2"/>
      <charset val="238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5" fillId="27" borderId="176" applyNumberFormat="0" applyAlignment="0" applyProtection="0"/>
  </cellStyleXfs>
  <cellXfs count="86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4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30" fillId="0" borderId="0" xfId="0" applyFont="1"/>
    <xf numFmtId="49" fontId="30" fillId="0" borderId="0" xfId="0" applyNumberFormat="1" applyFont="1"/>
    <xf numFmtId="3" fontId="7" fillId="4" borderId="73" xfId="2" applyNumberFormat="1" applyBorder="1"/>
    <xf numFmtId="0" fontId="28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8" fillId="0" borderId="0" xfId="0" applyFont="1" applyAlignment="1"/>
    <xf numFmtId="0" fontId="29" fillId="0" borderId="0" xfId="0" applyFont="1" applyBorder="1" applyAlignment="1"/>
    <xf numFmtId="0" fontId="0" fillId="0" borderId="0" xfId="0" applyBorder="1"/>
    <xf numFmtId="0" fontId="30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7" fillId="0" borderId="14" xfId="0" applyFont="1" applyBorder="1" applyAlignment="1"/>
    <xf numFmtId="0" fontId="27" fillId="0" borderId="23" xfId="0" applyFont="1" applyBorder="1" applyAlignment="1"/>
    <xf numFmtId="0" fontId="29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3" fillId="5" borderId="84" xfId="3" applyNumberFormat="1" applyFont="1" applyBorder="1" applyAlignment="1">
      <alignment vertical="top" wrapText="1"/>
    </xf>
    <xf numFmtId="3" fontId="13" fillId="5" borderId="53" xfId="3" applyNumberFormat="1" applyFont="1" applyBorder="1" applyAlignment="1">
      <alignment vertical="top" wrapText="1"/>
    </xf>
    <xf numFmtId="3" fontId="13" fillId="5" borderId="54" xfId="3" applyNumberFormat="1" applyFont="1" applyBorder="1" applyAlignment="1">
      <alignment vertical="top" wrapText="1"/>
    </xf>
    <xf numFmtId="3" fontId="13" fillId="5" borderId="41" xfId="3" applyNumberFormat="1" applyFont="1" applyBorder="1" applyAlignment="1">
      <alignment vertical="top" wrapText="1"/>
    </xf>
    <xf numFmtId="3" fontId="13" fillId="5" borderId="17" xfId="3" applyNumberFormat="1" applyFont="1" applyBorder="1" applyAlignment="1">
      <alignment vertical="top" wrapText="1"/>
    </xf>
    <xf numFmtId="3" fontId="13" fillId="5" borderId="55" xfId="3" applyNumberFormat="1" applyFont="1" applyBorder="1" applyAlignment="1">
      <alignment vertical="top" wrapText="1"/>
    </xf>
    <xf numFmtId="3" fontId="13" fillId="5" borderId="85" xfId="3" applyNumberFormat="1" applyFont="1" applyBorder="1" applyAlignment="1">
      <alignment vertical="top" wrapText="1"/>
    </xf>
    <xf numFmtId="3" fontId="13" fillId="5" borderId="56" xfId="3" applyNumberFormat="1" applyFont="1" applyBorder="1" applyAlignment="1">
      <alignment vertical="top" wrapText="1"/>
    </xf>
    <xf numFmtId="3" fontId="13" fillId="5" borderId="57" xfId="3" applyNumberFormat="1" applyFont="1" applyBorder="1" applyAlignment="1">
      <alignment vertical="top" wrapText="1"/>
    </xf>
    <xf numFmtId="3" fontId="13" fillId="5" borderId="84" xfId="3" applyNumberFormat="1" applyFont="1" applyBorder="1" applyAlignment="1">
      <alignment horizontal="right" vertical="top" wrapText="1"/>
    </xf>
    <xf numFmtId="3" fontId="13" fillId="5" borderId="53" xfId="3" applyNumberFormat="1" applyFont="1" applyBorder="1" applyAlignment="1">
      <alignment horizontal="right" vertical="top" wrapText="1"/>
    </xf>
    <xf numFmtId="3" fontId="13" fillId="5" borderId="41" xfId="3" applyNumberFormat="1" applyFont="1" applyBorder="1" applyAlignment="1">
      <alignment horizontal="right" vertical="top" wrapText="1"/>
    </xf>
    <xf numFmtId="3" fontId="13" fillId="5" borderId="17" xfId="3" applyNumberFormat="1" applyFont="1" applyBorder="1" applyAlignment="1">
      <alignment horizontal="right" vertical="top" wrapText="1"/>
    </xf>
    <xf numFmtId="3" fontId="13" fillId="5" borderId="85" xfId="3" applyNumberFormat="1" applyFont="1" applyBorder="1" applyAlignment="1">
      <alignment horizontal="right" vertical="top" wrapText="1"/>
    </xf>
    <xf numFmtId="3" fontId="13" fillId="5" borderId="56" xfId="3" applyNumberFormat="1" applyFont="1" applyBorder="1" applyAlignment="1">
      <alignment horizontal="right" vertical="top" wrapText="1"/>
    </xf>
    <xf numFmtId="3" fontId="13" fillId="5" borderId="54" xfId="3" applyNumberFormat="1" applyFont="1" applyBorder="1" applyAlignment="1">
      <alignment horizontal="right" vertical="top" wrapText="1"/>
    </xf>
    <xf numFmtId="3" fontId="13" fillId="5" borderId="55" xfId="3" applyNumberFormat="1" applyFont="1" applyBorder="1" applyAlignment="1">
      <alignment horizontal="right" vertical="top" wrapText="1"/>
    </xf>
    <xf numFmtId="3" fontId="13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right"/>
    </xf>
    <xf numFmtId="0" fontId="35" fillId="12" borderId="80" xfId="0" applyFont="1" applyFill="1" applyBorder="1" applyAlignment="1">
      <alignment vertical="top"/>
    </xf>
    <xf numFmtId="0" fontId="35" fillId="12" borderId="0" xfId="0" applyFont="1" applyFill="1" applyBorder="1" applyAlignment="1">
      <alignment vertical="top"/>
    </xf>
    <xf numFmtId="0" fontId="35" fillId="12" borderId="24" xfId="0" applyFont="1" applyFill="1" applyBorder="1" applyAlignment="1">
      <alignment vertical="top"/>
    </xf>
    <xf numFmtId="0" fontId="35" fillId="12" borderId="6" xfId="0" applyFont="1" applyFill="1" applyBorder="1" applyAlignment="1">
      <alignment vertical="top"/>
    </xf>
    <xf numFmtId="0" fontId="37" fillId="14" borderId="29" xfId="0" applyFont="1" applyFill="1" applyBorder="1"/>
    <xf numFmtId="0" fontId="34" fillId="0" borderId="0" xfId="0" applyFont="1" applyFill="1"/>
    <xf numFmtId="0" fontId="38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4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4" fontId="42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6" fontId="41" fillId="15" borderId="117" xfId="4" applyNumberFormat="1" applyFont="1" applyFill="1" applyBorder="1" applyAlignment="1">
      <alignment horizontal="right" vertical="center" wrapText="1"/>
    </xf>
    <xf numFmtId="3" fontId="41" fillId="15" borderId="117" xfId="4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4" fontId="44" fillId="9" borderId="117" xfId="2" applyNumberFormat="1" applyFont="1" applyFill="1" applyBorder="1" applyAlignment="1">
      <alignment horizontal="right" vertical="center" wrapText="1"/>
    </xf>
    <xf numFmtId="166" fontId="45" fillId="9" borderId="117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vertical="center"/>
    </xf>
    <xf numFmtId="3" fontId="45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47" fillId="3" borderId="5" xfId="1" applyNumberFormat="1" applyFont="1" applyBorder="1" applyAlignment="1">
      <alignment horizontal="right" vertical="top" wrapText="1"/>
    </xf>
    <xf numFmtId="0" fontId="31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1" fillId="0" borderId="6" xfId="0" applyFont="1" applyBorder="1"/>
    <xf numFmtId="0" fontId="33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37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5" fillId="12" borderId="13" xfId="0" applyFont="1" applyFill="1" applyBorder="1" applyAlignment="1">
      <alignment horizontal="center" vertical="center" wrapText="1"/>
    </xf>
    <xf numFmtId="0" fontId="36" fillId="17" borderId="135" xfId="0" applyFont="1" applyFill="1" applyBorder="1" applyAlignment="1">
      <alignment vertical="center"/>
    </xf>
    <xf numFmtId="0" fontId="36" fillId="17" borderId="134" xfId="0" applyFont="1" applyFill="1" applyBorder="1" applyAlignment="1">
      <alignment vertical="center"/>
    </xf>
    <xf numFmtId="0" fontId="35" fillId="12" borderId="23" xfId="0" applyFont="1" applyFill="1" applyBorder="1" applyAlignment="1">
      <alignment vertical="center"/>
    </xf>
    <xf numFmtId="0" fontId="35" fillId="12" borderId="8" xfId="0" applyFont="1" applyFill="1" applyBorder="1" applyAlignment="1">
      <alignment vertical="center" wrapText="1"/>
    </xf>
    <xf numFmtId="0" fontId="35" fillId="12" borderId="14" xfId="0" applyFont="1" applyFill="1" applyBorder="1" applyAlignment="1">
      <alignment vertical="center"/>
    </xf>
    <xf numFmtId="0" fontId="35" fillId="12" borderId="13" xfId="0" applyFont="1" applyFill="1" applyBorder="1" applyAlignment="1">
      <alignment vertical="center"/>
    </xf>
    <xf numFmtId="0" fontId="35" fillId="12" borderId="14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24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7" fillId="14" borderId="26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 wrapText="1"/>
    </xf>
    <xf numFmtId="2" fontId="37" fillId="14" borderId="30" xfId="0" applyNumberFormat="1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top" wrapText="1"/>
    </xf>
    <xf numFmtId="0" fontId="34" fillId="17" borderId="130" xfId="0" applyFont="1" applyFill="1" applyBorder="1" applyAlignment="1">
      <alignment horizontal="center" vertical="center"/>
    </xf>
    <xf numFmtId="0" fontId="34" fillId="17" borderId="133" xfId="0" applyFont="1" applyFill="1" applyBorder="1" applyAlignment="1">
      <alignment horizontal="center" vertical="center"/>
    </xf>
    <xf numFmtId="3" fontId="7" fillId="4" borderId="143" xfId="2" applyNumberFormat="1" applyBorder="1" applyAlignment="1">
      <alignment horizontal="right" vertical="top" wrapText="1"/>
    </xf>
    <xf numFmtId="3" fontId="13" fillId="5" borderId="100" xfId="3" applyNumberFormat="1" applyFont="1" applyBorder="1" applyAlignment="1">
      <alignment horizontal="right" vertical="top" wrapText="1"/>
    </xf>
    <xf numFmtId="3" fontId="13" fillId="5" borderId="144" xfId="3" applyNumberFormat="1" applyFont="1" applyBorder="1" applyAlignment="1">
      <alignment horizontal="right" vertical="top" wrapText="1"/>
    </xf>
    <xf numFmtId="3" fontId="13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3" fillId="5" borderId="100" xfId="3" applyNumberFormat="1" applyFont="1" applyBorder="1" applyAlignment="1">
      <alignment vertical="top" wrapText="1"/>
    </xf>
    <xf numFmtId="3" fontId="13" fillId="5" borderId="144" xfId="3" applyNumberFormat="1" applyFont="1" applyBorder="1" applyAlignment="1">
      <alignment vertical="top" wrapText="1"/>
    </xf>
    <xf numFmtId="3" fontId="13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2" fillId="0" borderId="150" xfId="0" applyFont="1" applyBorder="1" applyAlignment="1">
      <alignment horizontal="center" wrapText="1"/>
    </xf>
    <xf numFmtId="0" fontId="32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2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3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2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2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5" fillId="0" borderId="0" xfId="0" applyFont="1"/>
    <xf numFmtId="2" fontId="37" fillId="14" borderId="69" xfId="0" applyNumberFormat="1" applyFont="1" applyFill="1" applyBorder="1" applyAlignment="1">
      <alignment horizontal="center" vertical="center"/>
    </xf>
    <xf numFmtId="2" fontId="37" fillId="14" borderId="29" xfId="0" applyNumberFormat="1" applyFont="1" applyFill="1" applyBorder="1" applyAlignment="1">
      <alignment horizontal="center" vertical="center"/>
    </xf>
    <xf numFmtId="0" fontId="35" fillId="12" borderId="80" xfId="0" applyFont="1" applyFill="1" applyBorder="1" applyAlignment="1">
      <alignment horizontal="center" vertical="top" wrapText="1"/>
    </xf>
    <xf numFmtId="0" fontId="35" fillId="12" borderId="6" xfId="0" applyFont="1" applyFill="1" applyBorder="1" applyAlignment="1">
      <alignment vertical="center"/>
    </xf>
    <xf numFmtId="0" fontId="35" fillId="12" borderId="0" xfId="0" applyFont="1" applyFill="1" applyBorder="1" applyAlignment="1">
      <alignment vertical="center"/>
    </xf>
    <xf numFmtId="0" fontId="35" fillId="12" borderId="24" xfId="0" applyFont="1" applyFill="1" applyBorder="1" applyAlignment="1">
      <alignment vertical="center"/>
    </xf>
    <xf numFmtId="0" fontId="35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2" fillId="17" borderId="22" xfId="0" applyFont="1" applyFill="1" applyBorder="1"/>
    <xf numFmtId="0" fontId="39" fillId="17" borderId="156" xfId="0" applyFont="1" applyFill="1" applyBorder="1" applyAlignment="1">
      <alignment horizontal="center" vertical="center"/>
    </xf>
    <xf numFmtId="0" fontId="39" fillId="17" borderId="157" xfId="0" applyFont="1" applyFill="1" applyBorder="1" applyAlignment="1">
      <alignment horizontal="center" vertical="center"/>
    </xf>
    <xf numFmtId="0" fontId="39" fillId="17" borderId="158" xfId="0" applyFont="1" applyFill="1" applyBorder="1" applyAlignment="1">
      <alignment horizontal="center" vertical="center"/>
    </xf>
    <xf numFmtId="0" fontId="39" fillId="17" borderId="159" xfId="0" applyFont="1" applyFill="1" applyBorder="1" applyAlignment="1">
      <alignment horizontal="center" vertical="center"/>
    </xf>
    <xf numFmtId="0" fontId="39" fillId="17" borderId="160" xfId="0" applyFont="1" applyFill="1" applyBorder="1" applyAlignment="1">
      <alignment horizontal="center" vertical="center"/>
    </xf>
    <xf numFmtId="0" fontId="39" fillId="17" borderId="161" xfId="0" applyFont="1" applyFill="1" applyBorder="1" applyAlignment="1">
      <alignment horizontal="center" vertical="center"/>
    </xf>
    <xf numFmtId="0" fontId="39" fillId="17" borderId="162" xfId="0" applyFont="1" applyFill="1" applyBorder="1" applyAlignment="1">
      <alignment horizontal="center" vertical="center"/>
    </xf>
    <xf numFmtId="0" fontId="39" fillId="17" borderId="163" xfId="0" applyFont="1" applyFill="1" applyBorder="1" applyAlignment="1">
      <alignment horizontal="center" vertical="center"/>
    </xf>
    <xf numFmtId="0" fontId="39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58" fillId="21" borderId="114" xfId="6" applyFont="1" applyFill="1" applyBorder="1" applyAlignment="1">
      <alignment vertical="center"/>
    </xf>
    <xf numFmtId="0" fontId="58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5" fontId="8" fillId="19" borderId="22" xfId="5" applyNumberFormat="1" applyFont="1" applyFill="1" applyBorder="1" applyProtection="1"/>
    <xf numFmtId="165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3" fillId="5" borderId="41" xfId="3" applyNumberFormat="1" applyFont="1" applyBorder="1" applyAlignment="1" applyProtection="1">
      <alignment horizontal="right" vertical="top" wrapText="1"/>
      <protection locked="0"/>
    </xf>
    <xf numFmtId="4" fontId="13" fillId="5" borderId="17" xfId="3" applyNumberFormat="1" applyFont="1" applyAlignment="1" applyProtection="1">
      <alignment horizontal="right" vertical="top" wrapText="1"/>
      <protection locked="0"/>
    </xf>
    <xf numFmtId="4" fontId="13" fillId="5" borderId="104" xfId="3" applyNumberFormat="1" applyFont="1" applyBorder="1" applyAlignment="1" applyProtection="1">
      <alignment horizontal="right" vertical="top" wrapText="1"/>
      <protection locked="0"/>
    </xf>
    <xf numFmtId="4" fontId="13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7" fontId="0" fillId="0" borderId="14" xfId="5" applyNumberFormat="1" applyFont="1" applyBorder="1" applyAlignment="1" applyProtection="1">
      <alignment horizontal="center" vertical="center" wrapText="1"/>
    </xf>
    <xf numFmtId="167" fontId="0" fillId="0" borderId="23" xfId="5" applyNumberFormat="1" applyFont="1" applyBorder="1" applyAlignment="1" applyProtection="1">
      <alignment horizontal="center" vertical="center" wrapText="1"/>
    </xf>
    <xf numFmtId="167" fontId="0" fillId="0" borderId="13" xfId="5" applyNumberFormat="1" applyFont="1" applyBorder="1" applyAlignment="1" applyProtection="1">
      <alignment horizontal="center" vertical="center" wrapText="1"/>
    </xf>
    <xf numFmtId="167" fontId="13" fillId="5" borderId="84" xfId="5" applyNumberFormat="1" applyFont="1" applyFill="1" applyBorder="1" applyAlignment="1" applyProtection="1">
      <alignment horizontal="center" vertical="center" wrapText="1"/>
    </xf>
    <xf numFmtId="167" fontId="13" fillId="5" borderId="53" xfId="5" applyNumberFormat="1" applyFont="1" applyFill="1" applyBorder="1" applyAlignment="1" applyProtection="1">
      <alignment horizontal="center" vertical="center" wrapText="1"/>
    </xf>
    <xf numFmtId="167" fontId="53" fillId="20" borderId="53" xfId="5" applyNumberFormat="1" applyFont="1" applyFill="1" applyBorder="1" applyAlignment="1" applyProtection="1">
      <alignment horizontal="center" vertical="center" wrapText="1"/>
    </xf>
    <xf numFmtId="167" fontId="13" fillId="5" borderId="100" xfId="5" applyNumberFormat="1" applyFont="1" applyFill="1" applyBorder="1" applyAlignment="1" applyProtection="1">
      <alignment horizontal="center" vertical="center" wrapText="1"/>
    </xf>
    <xf numFmtId="167" fontId="53" fillId="20" borderId="54" xfId="5" applyNumberFormat="1" applyFont="1" applyFill="1" applyBorder="1" applyAlignment="1" applyProtection="1">
      <alignment horizontal="center" vertical="center" wrapText="1"/>
    </xf>
    <xf numFmtId="9" fontId="32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7" fontId="0" fillId="0" borderId="24" xfId="5" applyNumberFormat="1" applyFont="1" applyBorder="1" applyAlignment="1" applyProtection="1">
      <alignment horizontal="center" vertical="center" wrapText="1"/>
    </xf>
    <xf numFmtId="167" fontId="0" fillId="0" borderId="0" xfId="5" applyNumberFormat="1" applyFont="1" applyBorder="1" applyAlignment="1" applyProtection="1">
      <alignment horizontal="center" vertical="center" wrapText="1"/>
    </xf>
    <xf numFmtId="167" fontId="0" fillId="0" borderId="6" xfId="5" applyNumberFormat="1" applyFont="1" applyBorder="1" applyAlignment="1" applyProtection="1">
      <alignment horizontal="center" vertical="center" wrapText="1"/>
    </xf>
    <xf numFmtId="167" fontId="13" fillId="5" borderId="41" xfId="5" applyNumberFormat="1" applyFont="1" applyFill="1" applyBorder="1" applyAlignment="1" applyProtection="1">
      <alignment horizontal="center" vertical="center" wrapText="1"/>
    </xf>
    <xf numFmtId="167" fontId="13" fillId="5" borderId="17" xfId="5" applyNumberFormat="1" applyFont="1" applyFill="1" applyBorder="1" applyAlignment="1" applyProtection="1">
      <alignment horizontal="center" vertical="center" wrapText="1"/>
    </xf>
    <xf numFmtId="167" fontId="53" fillId="20" borderId="17" xfId="5" applyNumberFormat="1" applyFont="1" applyFill="1" applyBorder="1" applyAlignment="1" applyProtection="1">
      <alignment horizontal="center" vertical="center" wrapText="1"/>
    </xf>
    <xf numFmtId="167" fontId="13" fillId="5" borderId="127" xfId="5" applyNumberFormat="1" applyFont="1" applyFill="1" applyBorder="1" applyAlignment="1" applyProtection="1">
      <alignment horizontal="center" vertical="center" wrapText="1"/>
    </xf>
    <xf numFmtId="167" fontId="53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7" fontId="0" fillId="0" borderId="15" xfId="5" applyNumberFormat="1" applyFont="1" applyBorder="1" applyAlignment="1" applyProtection="1">
      <alignment horizontal="center" vertical="center" wrapText="1"/>
    </xf>
    <xf numFmtId="167" fontId="0" fillId="0" borderId="26" xfId="5" applyNumberFormat="1" applyFont="1" applyBorder="1" applyAlignment="1" applyProtection="1">
      <alignment horizontal="center" vertical="center" wrapText="1"/>
    </xf>
    <xf numFmtId="167" fontId="0" fillId="0" borderId="5" xfId="5" applyNumberFormat="1" applyFont="1" applyBorder="1" applyAlignment="1" applyProtection="1">
      <alignment horizontal="center" vertical="center" wrapText="1"/>
    </xf>
    <xf numFmtId="167" fontId="13" fillId="5" borderId="85" xfId="5" applyNumberFormat="1" applyFont="1" applyFill="1" applyBorder="1" applyAlignment="1" applyProtection="1">
      <alignment horizontal="center" vertical="center" wrapText="1"/>
    </xf>
    <xf numFmtId="167" fontId="13" fillId="5" borderId="56" xfId="5" applyNumberFormat="1" applyFont="1" applyFill="1" applyBorder="1" applyAlignment="1" applyProtection="1">
      <alignment horizontal="center" vertical="center" wrapText="1"/>
    </xf>
    <xf numFmtId="167" fontId="53" fillId="20" borderId="56" xfId="5" applyNumberFormat="1" applyFont="1" applyFill="1" applyBorder="1" applyAlignment="1" applyProtection="1">
      <alignment horizontal="center" vertical="center" wrapText="1"/>
    </xf>
    <xf numFmtId="167" fontId="13" fillId="5" borderId="128" xfId="5" applyNumberFormat="1" applyFont="1" applyFill="1" applyBorder="1" applyAlignment="1" applyProtection="1">
      <alignment horizontal="center" vertical="center" wrapText="1"/>
    </xf>
    <xf numFmtId="167" fontId="53" fillId="20" borderId="99" xfId="5" applyNumberFormat="1" applyFont="1" applyFill="1" applyBorder="1" applyAlignment="1" applyProtection="1">
      <alignment horizontal="center" vertical="center" wrapText="1"/>
    </xf>
    <xf numFmtId="168" fontId="0" fillId="0" borderId="14" xfId="0" applyNumberFormat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 wrapText="1"/>
    </xf>
    <xf numFmtId="168" fontId="0" fillId="0" borderId="13" xfId="0" applyNumberFormat="1" applyBorder="1" applyAlignment="1" applyProtection="1">
      <alignment horizontal="center" vertical="center" wrapText="1"/>
    </xf>
    <xf numFmtId="168" fontId="13" fillId="5" borderId="84" xfId="3" applyNumberFormat="1" applyFont="1" applyBorder="1" applyAlignment="1" applyProtection="1">
      <alignment horizontal="center" vertical="center" wrapText="1"/>
    </xf>
    <xf numFmtId="168" fontId="13" fillId="5" borderId="53" xfId="3" applyNumberFormat="1" applyFont="1" applyBorder="1" applyAlignment="1" applyProtection="1">
      <alignment horizontal="center" vertical="center" wrapText="1"/>
    </xf>
    <xf numFmtId="168" fontId="53" fillId="20" borderId="53" xfId="3" applyNumberFormat="1" applyFont="1" applyFill="1" applyBorder="1" applyAlignment="1" applyProtection="1">
      <alignment horizontal="center" vertical="center" wrapText="1"/>
    </xf>
    <xf numFmtId="168" fontId="13" fillId="5" borderId="129" xfId="3" applyNumberFormat="1" applyFont="1" applyBorder="1" applyAlignment="1" applyProtection="1">
      <alignment horizontal="center" vertical="center" wrapText="1"/>
    </xf>
    <xf numFmtId="168" fontId="53" fillId="20" borderId="97" xfId="3" applyNumberFormat="1" applyFont="1" applyFill="1" applyBorder="1" applyAlignment="1" applyProtection="1">
      <alignment horizontal="center" vertical="center" wrapText="1"/>
    </xf>
    <xf numFmtId="168" fontId="0" fillId="0" borderId="24" xfId="0" applyNumberFormat="1" applyBorder="1" applyAlignment="1" applyProtection="1">
      <alignment horizontal="center" vertical="center" wrapText="1"/>
    </xf>
    <xf numFmtId="168" fontId="0" fillId="0" borderId="0" xfId="0" applyNumberFormat="1" applyBorder="1" applyAlignment="1" applyProtection="1">
      <alignment horizontal="center" vertical="center" wrapText="1"/>
    </xf>
    <xf numFmtId="168" fontId="0" fillId="0" borderId="6" xfId="0" applyNumberFormat="1" applyBorder="1" applyAlignment="1" applyProtection="1">
      <alignment horizontal="center" vertical="center" wrapText="1"/>
    </xf>
    <xf numFmtId="168" fontId="13" fillId="5" borderId="41" xfId="3" applyNumberFormat="1" applyFont="1" applyBorder="1" applyAlignment="1" applyProtection="1">
      <alignment horizontal="center" vertical="center" wrapText="1"/>
    </xf>
    <xf numFmtId="168" fontId="13" fillId="5" borderId="17" xfId="3" applyNumberFormat="1" applyFont="1" applyBorder="1" applyAlignment="1" applyProtection="1">
      <alignment horizontal="center" vertical="center" wrapText="1"/>
    </xf>
    <xf numFmtId="168" fontId="53" fillId="20" borderId="17" xfId="3" applyNumberFormat="1" applyFont="1" applyFill="1" applyBorder="1" applyAlignment="1" applyProtection="1">
      <alignment horizontal="center" vertical="center" wrapText="1"/>
    </xf>
    <xf numFmtId="168" fontId="13" fillId="5" borderId="127" xfId="3" applyNumberFormat="1" applyFont="1" applyBorder="1" applyAlignment="1" applyProtection="1">
      <alignment horizontal="center" vertical="center" wrapText="1"/>
    </xf>
    <xf numFmtId="168" fontId="53" fillId="20" borderId="98" xfId="3" applyNumberFormat="1" applyFont="1" applyFill="1" applyBorder="1" applyAlignment="1" applyProtection="1">
      <alignment horizontal="center" vertical="center" wrapText="1"/>
    </xf>
    <xf numFmtId="168" fontId="0" fillId="0" borderId="15" xfId="0" applyNumberFormat="1" applyBorder="1" applyAlignment="1" applyProtection="1">
      <alignment horizontal="center" vertical="center" wrapText="1"/>
    </xf>
    <xf numFmtId="168" fontId="0" fillId="0" borderId="26" xfId="0" applyNumberFormat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horizontal="center" vertical="center" wrapText="1"/>
    </xf>
    <xf numFmtId="168" fontId="13" fillId="5" borderId="85" xfId="3" applyNumberFormat="1" applyFont="1" applyBorder="1" applyAlignment="1" applyProtection="1">
      <alignment horizontal="center" vertical="center" wrapText="1"/>
    </xf>
    <xf numFmtId="168" fontId="13" fillId="5" borderId="56" xfId="3" applyNumberFormat="1" applyFont="1" applyBorder="1" applyAlignment="1" applyProtection="1">
      <alignment horizontal="center" vertical="center" wrapText="1"/>
    </xf>
    <xf numFmtId="168" fontId="53" fillId="20" borderId="56" xfId="3" applyNumberFormat="1" applyFont="1" applyFill="1" applyBorder="1" applyAlignment="1" applyProtection="1">
      <alignment horizontal="center" vertical="center" wrapText="1"/>
    </xf>
    <xf numFmtId="168" fontId="13" fillId="5" borderId="128" xfId="3" applyNumberFormat="1" applyFont="1" applyBorder="1" applyAlignment="1" applyProtection="1">
      <alignment horizontal="center" vertical="center" wrapText="1"/>
    </xf>
    <xf numFmtId="168" fontId="53" fillId="20" borderId="99" xfId="3" applyNumberFormat="1" applyFont="1" applyFill="1" applyBorder="1" applyAlignment="1" applyProtection="1">
      <alignment horizontal="center" vertical="center" wrapText="1"/>
    </xf>
    <xf numFmtId="9" fontId="32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2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1" fillId="16" borderId="29" xfId="0" applyFont="1" applyFill="1" applyBorder="1" applyAlignment="1" applyProtection="1">
      <alignment horizontal="left" vertical="top" wrapText="1"/>
    </xf>
    <xf numFmtId="0" fontId="13" fillId="16" borderId="141" xfId="3" applyFont="1" applyFill="1" applyBorder="1" applyAlignment="1" applyProtection="1">
      <alignment horizontal="right" vertical="top" wrapText="1"/>
    </xf>
    <xf numFmtId="0" fontId="53" fillId="16" borderId="141" xfId="3" applyFont="1" applyFill="1" applyBorder="1" applyAlignment="1" applyProtection="1">
      <alignment horizontal="right" vertical="top" wrapText="1"/>
    </xf>
    <xf numFmtId="0" fontId="13" fillId="16" borderId="142" xfId="3" applyFont="1" applyFill="1" applyBorder="1" applyAlignment="1" applyProtection="1">
      <alignment horizontal="right" vertical="top" wrapText="1"/>
    </xf>
    <xf numFmtId="0" fontId="53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7" fontId="54" fillId="20" borderId="24" xfId="5" applyNumberFormat="1" applyFont="1" applyFill="1" applyBorder="1" applyAlignment="1" applyProtection="1">
      <alignment horizontal="center" vertical="center" wrapText="1"/>
    </xf>
    <xf numFmtId="167" fontId="54" fillId="20" borderId="0" xfId="5" applyNumberFormat="1" applyFont="1" applyFill="1" applyBorder="1" applyAlignment="1" applyProtection="1">
      <alignment horizontal="center" vertical="center" wrapText="1"/>
    </xf>
    <xf numFmtId="167" fontId="54" fillId="20" borderId="6" xfId="5" applyNumberFormat="1" applyFont="1" applyFill="1" applyBorder="1" applyAlignment="1" applyProtection="1">
      <alignment horizontal="center" vertical="center" wrapText="1"/>
    </xf>
    <xf numFmtId="167" fontId="53" fillId="23" borderId="137" xfId="5" applyNumberFormat="1" applyFont="1" applyFill="1" applyBorder="1" applyAlignment="1" applyProtection="1">
      <alignment horizontal="center" vertical="center" wrapText="1"/>
    </xf>
    <xf numFmtId="167" fontId="53" fillId="23" borderId="138" xfId="5" applyNumberFormat="1" applyFont="1" applyFill="1" applyBorder="1" applyAlignment="1" applyProtection="1">
      <alignment horizontal="center" vertical="center" wrapText="1"/>
    </xf>
    <xf numFmtId="167" fontId="53" fillId="20" borderId="138" xfId="5" applyNumberFormat="1" applyFont="1" applyFill="1" applyBorder="1" applyAlignment="1" applyProtection="1">
      <alignment horizontal="center" vertical="center" wrapText="1"/>
    </xf>
    <xf numFmtId="167" fontId="53" fillId="23" borderId="139" xfId="5" applyNumberFormat="1" applyFont="1" applyFill="1" applyBorder="1" applyAlignment="1" applyProtection="1">
      <alignment horizontal="center" vertical="center" wrapText="1"/>
    </xf>
    <xf numFmtId="167" fontId="53" fillId="20" borderId="140" xfId="5" applyNumberFormat="1" applyFont="1" applyFill="1" applyBorder="1" applyAlignment="1" applyProtection="1">
      <alignment horizontal="center" vertical="center" wrapText="1"/>
    </xf>
    <xf numFmtId="9" fontId="32" fillId="0" borderId="24" xfId="0" applyNumberFormat="1" applyFont="1" applyBorder="1" applyAlignment="1" applyProtection="1">
      <alignment horizontal="left" vertical="top" wrapText="1"/>
    </xf>
    <xf numFmtId="167" fontId="53" fillId="23" borderId="41" xfId="5" applyNumberFormat="1" applyFont="1" applyFill="1" applyBorder="1" applyAlignment="1" applyProtection="1">
      <alignment horizontal="center" vertical="center" wrapText="1"/>
    </xf>
    <xf numFmtId="167" fontId="53" fillId="23" borderId="17" xfId="5" applyNumberFormat="1" applyFont="1" applyFill="1" applyBorder="1" applyAlignment="1" applyProtection="1">
      <alignment horizontal="center" vertical="center" wrapText="1"/>
    </xf>
    <xf numFmtId="167" fontId="53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7" fontId="54" fillId="20" borderId="15" xfId="5" applyNumberFormat="1" applyFont="1" applyFill="1" applyBorder="1" applyAlignment="1" applyProtection="1">
      <alignment horizontal="center" vertical="center" wrapText="1"/>
    </xf>
    <xf numFmtId="167" fontId="54" fillId="20" borderId="26" xfId="5" applyNumberFormat="1" applyFont="1" applyFill="1" applyBorder="1" applyAlignment="1" applyProtection="1">
      <alignment horizontal="center" vertical="center" wrapText="1"/>
    </xf>
    <xf numFmtId="167" fontId="54" fillId="20" borderId="5" xfId="5" applyNumberFormat="1" applyFont="1" applyFill="1" applyBorder="1" applyAlignment="1" applyProtection="1">
      <alignment horizontal="center" vertical="center" wrapText="1"/>
    </xf>
    <xf numFmtId="167" fontId="53" fillId="23" borderId="85" xfId="5" applyNumberFormat="1" applyFont="1" applyFill="1" applyBorder="1" applyAlignment="1" applyProtection="1">
      <alignment horizontal="center" vertical="center" wrapText="1"/>
    </xf>
    <xf numFmtId="167" fontId="53" fillId="23" borderId="56" xfId="5" applyNumberFormat="1" applyFont="1" applyFill="1" applyBorder="1" applyAlignment="1" applyProtection="1">
      <alignment horizontal="center" vertical="center" wrapText="1"/>
    </xf>
    <xf numFmtId="167" fontId="53" fillId="23" borderId="128" xfId="5" applyNumberFormat="1" applyFont="1" applyFill="1" applyBorder="1" applyAlignment="1" applyProtection="1">
      <alignment horizontal="center" vertical="center" wrapText="1"/>
    </xf>
    <xf numFmtId="167" fontId="53" fillId="23" borderId="84" xfId="5" applyNumberFormat="1" applyFont="1" applyFill="1" applyBorder="1" applyAlignment="1" applyProtection="1">
      <alignment horizontal="center" vertical="center" wrapText="1"/>
    </xf>
    <xf numFmtId="167" fontId="53" fillId="23" borderId="53" xfId="5" applyNumberFormat="1" applyFont="1" applyFill="1" applyBorder="1" applyAlignment="1" applyProtection="1">
      <alignment horizontal="center" vertical="center" wrapText="1"/>
    </xf>
    <xf numFmtId="167" fontId="53" fillId="23" borderId="129" xfId="5" applyNumberFormat="1" applyFont="1" applyFill="1" applyBorder="1" applyAlignment="1" applyProtection="1">
      <alignment horizontal="center" vertical="center" wrapText="1"/>
    </xf>
    <xf numFmtId="167" fontId="53" fillId="20" borderId="97" xfId="5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top" wrapText="1"/>
    </xf>
    <xf numFmtId="168" fontId="54" fillId="20" borderId="24" xfId="5" applyNumberFormat="1" applyFont="1" applyFill="1" applyBorder="1" applyAlignment="1" applyProtection="1">
      <alignment horizontal="center" vertical="center" wrapText="1"/>
    </xf>
    <xf numFmtId="168" fontId="54" fillId="20" borderId="0" xfId="5" applyNumberFormat="1" applyFont="1" applyFill="1" applyBorder="1" applyAlignment="1" applyProtection="1">
      <alignment horizontal="center" vertical="center" wrapText="1"/>
    </xf>
    <xf numFmtId="168" fontId="54" fillId="20" borderId="6" xfId="5" applyNumberFormat="1" applyFont="1" applyFill="1" applyBorder="1" applyAlignment="1" applyProtection="1">
      <alignment horizontal="center" vertical="center" wrapText="1"/>
    </xf>
    <xf numFmtId="168" fontId="53" fillId="23" borderId="84" xfId="5" applyNumberFormat="1" applyFont="1" applyFill="1" applyBorder="1" applyAlignment="1" applyProtection="1">
      <alignment horizontal="center" vertical="center" wrapText="1"/>
    </xf>
    <xf numFmtId="168" fontId="53" fillId="23" borderId="53" xfId="5" applyNumberFormat="1" applyFont="1" applyFill="1" applyBorder="1" applyAlignment="1" applyProtection="1">
      <alignment horizontal="center" vertical="center" wrapText="1"/>
    </xf>
    <xf numFmtId="168" fontId="53" fillId="20" borderId="53" xfId="5" applyNumberFormat="1" applyFont="1" applyFill="1" applyBorder="1" applyAlignment="1" applyProtection="1">
      <alignment horizontal="center" vertical="center" wrapText="1"/>
    </xf>
    <xf numFmtId="168" fontId="53" fillId="23" borderId="129" xfId="5" applyNumberFormat="1" applyFont="1" applyFill="1" applyBorder="1" applyAlignment="1" applyProtection="1">
      <alignment horizontal="center" vertical="center" wrapText="1"/>
    </xf>
    <xf numFmtId="168" fontId="53" fillId="20" borderId="97" xfId="5" applyNumberFormat="1" applyFont="1" applyFill="1" applyBorder="1" applyAlignment="1" applyProtection="1">
      <alignment horizontal="center" vertical="center" wrapText="1"/>
    </xf>
    <xf numFmtId="168" fontId="53" fillId="23" borderId="41" xfId="5" applyNumberFormat="1" applyFont="1" applyFill="1" applyBorder="1" applyAlignment="1" applyProtection="1">
      <alignment horizontal="center" vertical="center" wrapText="1"/>
    </xf>
    <xf numFmtId="168" fontId="53" fillId="23" borderId="17" xfId="5" applyNumberFormat="1" applyFont="1" applyFill="1" applyBorder="1" applyAlignment="1" applyProtection="1">
      <alignment horizontal="center" vertical="center" wrapText="1"/>
    </xf>
    <xf numFmtId="168" fontId="53" fillId="20" borderId="17" xfId="5" applyNumberFormat="1" applyFont="1" applyFill="1" applyBorder="1" applyAlignment="1" applyProtection="1">
      <alignment horizontal="center" vertical="center" wrapText="1"/>
    </xf>
    <xf numFmtId="168" fontId="53" fillId="23" borderId="127" xfId="5" applyNumberFormat="1" applyFont="1" applyFill="1" applyBorder="1" applyAlignment="1" applyProtection="1">
      <alignment horizontal="center" vertical="center" wrapText="1"/>
    </xf>
    <xf numFmtId="168" fontId="53" fillId="20" borderId="98" xfId="5" applyNumberFormat="1" applyFont="1" applyFill="1" applyBorder="1" applyAlignment="1" applyProtection="1">
      <alignment horizontal="center" vertical="center" wrapText="1"/>
    </xf>
    <xf numFmtId="168" fontId="54" fillId="20" borderId="15" xfId="5" applyNumberFormat="1" applyFont="1" applyFill="1" applyBorder="1" applyAlignment="1" applyProtection="1">
      <alignment horizontal="center" vertical="center" wrapText="1"/>
    </xf>
    <xf numFmtId="168" fontId="54" fillId="20" borderId="26" xfId="5" applyNumberFormat="1" applyFont="1" applyFill="1" applyBorder="1" applyAlignment="1" applyProtection="1">
      <alignment horizontal="center" vertical="center" wrapText="1"/>
    </xf>
    <xf numFmtId="168" fontId="54" fillId="20" borderId="5" xfId="5" applyNumberFormat="1" applyFont="1" applyFill="1" applyBorder="1" applyAlignment="1" applyProtection="1">
      <alignment horizontal="center" vertical="center" wrapText="1"/>
    </xf>
    <xf numFmtId="168" fontId="53" fillId="23" borderId="85" xfId="5" applyNumberFormat="1" applyFont="1" applyFill="1" applyBorder="1" applyAlignment="1" applyProtection="1">
      <alignment horizontal="center" vertical="center" wrapText="1"/>
    </xf>
    <xf numFmtId="168" fontId="53" fillId="23" borderId="56" xfId="5" applyNumberFormat="1" applyFont="1" applyFill="1" applyBorder="1" applyAlignment="1" applyProtection="1">
      <alignment horizontal="center" vertical="center" wrapText="1"/>
    </xf>
    <xf numFmtId="168" fontId="53" fillId="20" borderId="56" xfId="5" applyNumberFormat="1" applyFont="1" applyFill="1" applyBorder="1" applyAlignment="1" applyProtection="1">
      <alignment horizontal="center" vertical="center" wrapText="1"/>
    </xf>
    <xf numFmtId="168" fontId="53" fillId="23" borderId="128" xfId="5" applyNumberFormat="1" applyFont="1" applyFill="1" applyBorder="1" applyAlignment="1" applyProtection="1">
      <alignment horizontal="center" vertical="center" wrapText="1"/>
    </xf>
    <xf numFmtId="168" fontId="53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5" fillId="0" borderId="0" xfId="0" applyFont="1" applyAlignment="1" applyProtection="1">
      <alignment vertical="center"/>
    </xf>
    <xf numFmtId="0" fontId="0" fillId="0" borderId="0" xfId="0" applyProtection="1"/>
    <xf numFmtId="165" fontId="8" fillId="19" borderId="147" xfId="5" applyNumberFormat="1" applyFont="1" applyFill="1" applyBorder="1" applyProtection="1"/>
    <xf numFmtId="0" fontId="52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0" fontId="50" fillId="0" borderId="26" xfId="0" applyFont="1" applyBorder="1" applyAlignment="1">
      <alignment horizontal="center" vertical="center"/>
    </xf>
    <xf numFmtId="165" fontId="59" fillId="19" borderId="22" xfId="5" applyNumberFormat="1" applyFont="1" applyFill="1" applyBorder="1" applyProtection="1"/>
    <xf numFmtId="165" fontId="59" fillId="19" borderId="125" xfId="5" applyNumberFormat="1" applyFont="1" applyFill="1" applyBorder="1" applyProtection="1"/>
    <xf numFmtId="165" fontId="59" fillId="19" borderId="147" xfId="5" applyNumberFormat="1" applyFont="1" applyFill="1" applyBorder="1" applyProtection="1"/>
    <xf numFmtId="165" fontId="54" fillId="22" borderId="22" xfId="5" applyNumberFormat="1" applyFont="1" applyFill="1" applyBorder="1" applyProtection="1"/>
    <xf numFmtId="165" fontId="54" fillId="22" borderId="125" xfId="5" applyNumberFormat="1" applyFont="1" applyFill="1" applyBorder="1" applyProtection="1"/>
    <xf numFmtId="165" fontId="54" fillId="22" borderId="147" xfId="5" applyNumberFormat="1" applyFont="1" applyFill="1" applyBorder="1" applyProtection="1"/>
    <xf numFmtId="165" fontId="60" fillId="21" borderId="22" xfId="5" applyNumberFormat="1" applyFont="1" applyFill="1" applyBorder="1" applyProtection="1"/>
    <xf numFmtId="165" fontId="60" fillId="21" borderId="125" xfId="5" applyNumberFormat="1" applyFont="1" applyFill="1" applyBorder="1" applyProtection="1"/>
    <xf numFmtId="165" fontId="60" fillId="21" borderId="147" xfId="5" applyNumberFormat="1" applyFont="1" applyFill="1" applyBorder="1" applyProtection="1"/>
    <xf numFmtId="165" fontId="60" fillId="21" borderId="22" xfId="5" applyNumberFormat="1" applyFont="1" applyFill="1" applyBorder="1" applyAlignment="1" applyProtection="1">
      <alignment horizontal="center"/>
    </xf>
    <xf numFmtId="165" fontId="60" fillId="21" borderId="125" xfId="5" applyNumberFormat="1" applyFont="1" applyFill="1" applyBorder="1" applyAlignment="1" applyProtection="1">
      <alignment horizontal="center"/>
    </xf>
    <xf numFmtId="165" fontId="60" fillId="21" borderId="147" xfId="5" applyNumberFormat="1" applyFont="1" applyFill="1" applyBorder="1" applyAlignment="1" applyProtection="1">
      <alignment horizontal="center"/>
    </xf>
    <xf numFmtId="165" fontId="60" fillId="21" borderId="86" xfId="5" applyNumberFormat="1" applyFont="1" applyFill="1" applyBorder="1" applyProtection="1"/>
    <xf numFmtId="165" fontId="60" fillId="21" borderId="122" xfId="5" applyNumberFormat="1" applyFont="1" applyFill="1" applyBorder="1" applyProtection="1"/>
    <xf numFmtId="165" fontId="60" fillId="21" borderId="155" xfId="5" applyNumberFormat="1" applyFont="1" applyFill="1" applyBorder="1" applyProtection="1"/>
    <xf numFmtId="165" fontId="60" fillId="21" borderId="148" xfId="5" applyNumberFormat="1" applyFont="1" applyFill="1" applyBorder="1" applyProtection="1"/>
    <xf numFmtId="0" fontId="64" fillId="13" borderId="6" xfId="0" applyFont="1" applyFill="1" applyBorder="1" applyAlignment="1">
      <alignment horizontal="center" vertical="center"/>
    </xf>
    <xf numFmtId="0" fontId="34" fillId="17" borderId="24" xfId="0" applyFont="1" applyFill="1" applyBorder="1" applyAlignment="1">
      <alignment horizontal="center" vertical="center"/>
    </xf>
    <xf numFmtId="0" fontId="34" fillId="17" borderId="131" xfId="0" applyFont="1" applyFill="1" applyBorder="1" applyAlignment="1">
      <alignment horizontal="center" vertical="center"/>
    </xf>
    <xf numFmtId="0" fontId="34" fillId="17" borderId="132" xfId="0" applyFont="1" applyFill="1" applyBorder="1" applyAlignment="1">
      <alignment horizontal="center" vertical="center"/>
    </xf>
    <xf numFmtId="0" fontId="34" fillId="17" borderId="91" xfId="3" applyFont="1" applyFill="1" applyBorder="1" applyAlignment="1">
      <alignment horizontal="center"/>
    </xf>
    <xf numFmtId="0" fontId="34" fillId="17" borderId="136" xfId="3" applyFont="1" applyFill="1" applyBorder="1" applyAlignment="1">
      <alignment horizontal="center"/>
    </xf>
    <xf numFmtId="0" fontId="34" fillId="17" borderId="92" xfId="3" applyFont="1" applyFill="1" applyBorder="1" applyAlignment="1">
      <alignment horizontal="center"/>
    </xf>
    <xf numFmtId="0" fontId="61" fillId="22" borderId="65" xfId="0" applyFont="1" applyFill="1" applyBorder="1" applyAlignment="1">
      <alignment horizontal="center" vertical="center"/>
    </xf>
    <xf numFmtId="0" fontId="61" fillId="22" borderId="64" xfId="0" applyFont="1" applyFill="1" applyBorder="1" applyAlignment="1">
      <alignment horizontal="center" vertical="center"/>
    </xf>
    <xf numFmtId="0" fontId="54" fillId="22" borderId="119" xfId="0" applyFont="1" applyFill="1" applyBorder="1"/>
    <xf numFmtId="0" fontId="54" fillId="22" borderId="60" xfId="0" applyFont="1" applyFill="1" applyBorder="1"/>
    <xf numFmtId="0" fontId="54" fillId="22" borderId="22" xfId="0" applyFont="1" applyFill="1" applyBorder="1"/>
    <xf numFmtId="0" fontId="54" fillId="22" borderId="113" xfId="0" applyFont="1" applyFill="1" applyBorder="1"/>
    <xf numFmtId="0" fontId="54" fillId="22" borderId="86" xfId="0" applyFont="1" applyFill="1" applyBorder="1"/>
    <xf numFmtId="0" fontId="54" fillId="22" borderId="116" xfId="0" applyFont="1" applyFill="1" applyBorder="1"/>
    <xf numFmtId="0" fontId="54" fillId="22" borderId="115" xfId="0" applyFont="1" applyFill="1" applyBorder="1"/>
    <xf numFmtId="4" fontId="63" fillId="24" borderId="51" xfId="2" applyNumberFormat="1" applyFont="1" applyFill="1" applyBorder="1" applyAlignment="1">
      <alignment horizontal="right" vertical="top" wrapText="1"/>
    </xf>
    <xf numFmtId="4" fontId="63" fillId="24" borderId="42" xfId="2" applyNumberFormat="1" applyFont="1" applyFill="1" applyBorder="1" applyAlignment="1">
      <alignment horizontal="right" vertical="top" wrapText="1"/>
    </xf>
    <xf numFmtId="4" fontId="63" fillId="24" borderId="52" xfId="2" applyNumberFormat="1" applyFont="1" applyFill="1" applyBorder="1" applyAlignment="1">
      <alignment horizontal="right" vertical="top" wrapText="1"/>
    </xf>
    <xf numFmtId="4" fontId="63" fillId="24" borderId="106" xfId="2" applyNumberFormat="1" applyFont="1" applyFill="1" applyBorder="1" applyAlignment="1">
      <alignment horizontal="right" vertical="top" wrapText="1"/>
    </xf>
    <xf numFmtId="4" fontId="63" fillId="24" borderId="95" xfId="2" applyNumberFormat="1" applyFont="1" applyFill="1" applyBorder="1" applyAlignment="1">
      <alignment horizontal="right" vertical="top" wrapText="1"/>
    </xf>
    <xf numFmtId="4" fontId="63" fillId="24" borderId="109" xfId="2" applyNumberFormat="1" applyFont="1" applyFill="1" applyBorder="1" applyAlignment="1">
      <alignment horizontal="right" vertical="top" wrapText="1"/>
    </xf>
    <xf numFmtId="4" fontId="63" fillId="24" borderId="107" xfId="2" applyNumberFormat="1" applyFont="1" applyFill="1" applyBorder="1" applyAlignment="1">
      <alignment horizontal="right" vertical="top" wrapText="1"/>
    </xf>
    <xf numFmtId="4" fontId="63" fillId="24" borderId="46" xfId="2" applyNumberFormat="1" applyFont="1" applyFill="1" applyBorder="1" applyAlignment="1">
      <alignment horizontal="right" vertical="top" wrapText="1"/>
    </xf>
    <xf numFmtId="4" fontId="63" fillId="24" borderId="45" xfId="2" applyNumberFormat="1" applyFont="1" applyFill="1" applyBorder="1" applyAlignment="1">
      <alignment horizontal="right" vertical="top" wrapText="1"/>
    </xf>
    <xf numFmtId="4" fontId="62" fillId="24" borderId="26" xfId="1" applyNumberFormat="1" applyFont="1" applyFill="1" applyBorder="1" applyAlignment="1">
      <alignment horizontal="right" vertical="top" wrapText="1"/>
    </xf>
    <xf numFmtId="4" fontId="63" fillId="24" borderId="44" xfId="2" applyNumberFormat="1" applyFont="1" applyFill="1" applyBorder="1" applyAlignment="1">
      <alignment horizontal="right" vertical="top" wrapText="1"/>
    </xf>
    <xf numFmtId="4" fontId="63" fillId="24" borderId="108" xfId="2" applyNumberFormat="1" applyFont="1" applyFill="1" applyBorder="1" applyAlignment="1">
      <alignment horizontal="right" vertical="top" wrapText="1"/>
    </xf>
    <xf numFmtId="4" fontId="63" fillId="24" borderId="43" xfId="2" applyNumberFormat="1" applyFont="1" applyFill="1" applyBorder="1" applyAlignment="1">
      <alignment horizontal="right" vertical="top" wrapText="1"/>
    </xf>
    <xf numFmtId="0" fontId="63" fillId="24" borderId="70" xfId="0" applyFont="1" applyFill="1" applyBorder="1" applyAlignment="1">
      <alignment horizontal="left" vertical="top" wrapText="1"/>
    </xf>
    <xf numFmtId="165" fontId="63" fillId="24" borderId="110" xfId="5" applyNumberFormat="1" applyFont="1" applyFill="1" applyBorder="1" applyAlignment="1">
      <alignment horizontal="right" vertical="top" wrapText="1"/>
    </xf>
    <xf numFmtId="165" fontId="63" fillId="24" borderId="111" xfId="5" applyNumberFormat="1" applyFont="1" applyFill="1" applyBorder="1" applyAlignment="1">
      <alignment horizontal="right" vertical="top" wrapText="1"/>
    </xf>
    <xf numFmtId="165" fontId="63" fillId="24" borderId="112" xfId="5" applyNumberFormat="1" applyFont="1" applyFill="1" applyBorder="1" applyAlignment="1">
      <alignment horizontal="right" vertical="top" wrapText="1"/>
    </xf>
    <xf numFmtId="165" fontId="63" fillId="24" borderId="47" xfId="5" applyNumberFormat="1" applyFont="1" applyFill="1" applyBorder="1" applyAlignment="1">
      <alignment horizontal="right" vertical="top" wrapText="1"/>
    </xf>
    <xf numFmtId="165" fontId="63" fillId="24" borderId="48" xfId="5" applyNumberFormat="1" applyFont="1" applyFill="1" applyBorder="1" applyAlignment="1">
      <alignment horizontal="right" vertical="top" wrapText="1"/>
    </xf>
    <xf numFmtId="165" fontId="63" fillId="24" borderId="49" xfId="5" applyNumberFormat="1" applyFont="1" applyFill="1" applyBorder="1" applyAlignment="1">
      <alignment horizontal="right" vertical="top" wrapText="1"/>
    </xf>
    <xf numFmtId="0" fontId="37" fillId="14" borderId="26" xfId="0" applyFont="1" applyFill="1" applyBorder="1"/>
    <xf numFmtId="0" fontId="35" fillId="12" borderId="8" xfId="0" applyFont="1" applyFill="1" applyBorder="1" applyAlignment="1">
      <alignment horizontal="center" vertical="center" wrapText="1"/>
    </xf>
    <xf numFmtId="0" fontId="64" fillId="13" borderId="5" xfId="0" applyFont="1" applyFill="1" applyBorder="1" applyAlignment="1">
      <alignment horizontal="center" vertical="center"/>
    </xf>
    <xf numFmtId="0" fontId="39" fillId="17" borderId="165" xfId="0" applyFont="1" applyFill="1" applyBorder="1" applyAlignment="1">
      <alignment horizontal="center" vertical="center"/>
    </xf>
    <xf numFmtId="0" fontId="39" fillId="17" borderId="166" xfId="0" applyFont="1" applyFill="1" applyBorder="1" applyAlignment="1">
      <alignment horizontal="center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68" xfId="0" applyFont="1" applyFill="1" applyBorder="1" applyAlignment="1">
      <alignment horizontal="center" vertical="center"/>
    </xf>
    <xf numFmtId="0" fontId="39" fillId="17" borderId="169" xfId="0" applyFont="1" applyFill="1" applyBorder="1" applyAlignment="1">
      <alignment horizontal="center" vertical="center"/>
    </xf>
    <xf numFmtId="0" fontId="39" fillId="17" borderId="170" xfId="0" applyFont="1" applyFill="1" applyBorder="1" applyAlignment="1">
      <alignment horizontal="center" vertical="center"/>
    </xf>
    <xf numFmtId="0" fontId="39" fillId="17" borderId="171" xfId="0" applyFont="1" applyFill="1" applyBorder="1" applyAlignment="1">
      <alignment horizontal="center" vertical="center"/>
    </xf>
    <xf numFmtId="0" fontId="39" fillId="17" borderId="172" xfId="0" applyFont="1" applyFill="1" applyBorder="1" applyAlignment="1">
      <alignment horizontal="center" vertical="center"/>
    </xf>
    <xf numFmtId="0" fontId="39" fillId="17" borderId="173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5" fontId="60" fillId="0" borderId="122" xfId="5" applyNumberFormat="1" applyFont="1" applyFill="1" applyBorder="1" applyProtection="1"/>
    <xf numFmtId="165" fontId="60" fillId="0" borderId="18" xfId="5" applyNumberFormat="1" applyFont="1" applyFill="1" applyBorder="1" applyProtection="1"/>
    <xf numFmtId="165" fontId="54" fillId="22" borderId="22" xfId="5" applyNumberFormat="1" applyFont="1" applyFill="1" applyBorder="1" applyAlignment="1" applyProtection="1">
      <alignment horizontal="center"/>
    </xf>
    <xf numFmtId="165" fontId="60" fillId="21" borderId="86" xfId="5" applyNumberFormat="1" applyFont="1" applyFill="1" applyBorder="1" applyAlignment="1" applyProtection="1">
      <alignment horizontal="center"/>
    </xf>
    <xf numFmtId="165" fontId="59" fillId="19" borderId="22" xfId="5" applyNumberFormat="1" applyFont="1" applyFill="1" applyBorder="1" applyAlignment="1" applyProtection="1">
      <alignment horizontal="center"/>
    </xf>
    <xf numFmtId="165" fontId="60" fillId="22" borderId="22" xfId="5" applyNumberFormat="1" applyFont="1" applyFill="1" applyBorder="1" applyProtection="1"/>
    <xf numFmtId="165" fontId="60" fillId="22" borderId="125" xfId="5" applyNumberFormat="1" applyFont="1" applyFill="1" applyBorder="1" applyProtection="1"/>
    <xf numFmtId="165" fontId="32" fillId="0" borderId="18" xfId="5" applyNumberFormat="1" applyFont="1" applyFill="1" applyBorder="1" applyProtection="1"/>
    <xf numFmtId="165" fontId="32" fillId="0" borderId="23" xfId="5" applyNumberFormat="1" applyFont="1" applyFill="1" applyBorder="1" applyProtection="1"/>
    <xf numFmtId="0" fontId="35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10" fontId="0" fillId="0" borderId="0" xfId="0" applyNumberFormat="1"/>
    <xf numFmtId="0" fontId="66" fillId="27" borderId="177" xfId="8" applyFont="1" applyBorder="1" applyAlignment="1">
      <alignment vertical="center"/>
    </xf>
    <xf numFmtId="0" fontId="66" fillId="27" borderId="0" xfId="8" applyFont="1" applyBorder="1" applyAlignment="1">
      <alignment horizontal="left" vertical="top"/>
    </xf>
    <xf numFmtId="0" fontId="66" fillId="27" borderId="178" xfId="8" applyFont="1" applyBorder="1" applyAlignment="1">
      <alignment horizontal="center" vertical="top"/>
    </xf>
    <xf numFmtId="0" fontId="67" fillId="27" borderId="179" xfId="8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44" fontId="1" fillId="0" borderId="0" xfId="7" applyFont="1" applyAlignment="1">
      <alignment horizontal="right" vertical="top"/>
    </xf>
    <xf numFmtId="44" fontId="1" fillId="0" borderId="0" xfId="7" applyFont="1" applyAlignment="1">
      <alignment horizontal="left" vertical="top"/>
    </xf>
    <xf numFmtId="44" fontId="1" fillId="0" borderId="180" xfId="7" applyFont="1" applyBorder="1" applyAlignment="1">
      <alignment horizontal="left" vertical="top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44" fontId="1" fillId="0" borderId="181" xfId="7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6" borderId="30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44" fontId="1" fillId="0" borderId="23" xfId="7" applyFont="1" applyBorder="1" applyAlignment="1">
      <alignment horizontal="left" vertical="top"/>
    </xf>
    <xf numFmtId="0" fontId="1" fillId="0" borderId="0" xfId="0" applyFont="1"/>
    <xf numFmtId="0" fontId="1" fillId="6" borderId="30" xfId="0" applyFont="1" applyFill="1" applyBorder="1" applyAlignment="1">
      <alignment horizontal="left" vertical="center"/>
    </xf>
    <xf numFmtId="0" fontId="1" fillId="15" borderId="30" xfId="0" applyFont="1" applyFill="1" applyBorder="1" applyAlignment="1">
      <alignment horizontal="left" vertical="center"/>
    </xf>
    <xf numFmtId="0" fontId="1" fillId="19" borderId="3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44" fontId="0" fillId="0" borderId="0" xfId="0" applyNumberFormat="1" applyAlignment="1">
      <alignment vertical="top"/>
    </xf>
    <xf numFmtId="0" fontId="70" fillId="0" borderId="0" xfId="0" applyFont="1" applyAlignment="1">
      <alignment horizontal="center" wrapText="1"/>
    </xf>
    <xf numFmtId="0" fontId="70" fillId="0" borderId="22" xfId="0" applyFont="1" applyBorder="1" applyAlignment="1">
      <alignment horizontal="center" vertical="center" wrapText="1"/>
    </xf>
    <xf numFmtId="0" fontId="70" fillId="0" borderId="38" xfId="0" applyFont="1" applyBorder="1" applyAlignment="1">
      <alignment horizontal="center" wrapText="1"/>
    </xf>
    <xf numFmtId="0" fontId="8" fillId="28" borderId="8" xfId="0" applyFont="1" applyFill="1" applyBorder="1" applyAlignment="1">
      <alignment horizontal="center" vertical="top" wrapText="1"/>
    </xf>
    <xf numFmtId="0" fontId="70" fillId="0" borderId="184" xfId="0" applyFont="1" applyBorder="1"/>
    <xf numFmtId="44" fontId="71" fillId="0" borderId="22" xfId="7" applyFont="1" applyBorder="1" applyAlignment="1">
      <alignment horizontal="center"/>
    </xf>
    <xf numFmtId="0" fontId="72" fillId="0" borderId="38" xfId="0" applyFont="1" applyBorder="1" applyAlignment="1">
      <alignment horizontal="center"/>
    </xf>
    <xf numFmtId="1" fontId="0" fillId="22" borderId="89" xfId="4" applyNumberFormat="1" applyFont="1" applyFill="1" applyBorder="1" applyAlignment="1">
      <alignment horizontal="center"/>
    </xf>
    <xf numFmtId="166" fontId="0" fillId="22" borderId="89" xfId="4" applyNumberFormat="1" applyFont="1" applyFill="1" applyBorder="1"/>
    <xf numFmtId="1" fontId="0" fillId="22" borderId="147" xfId="4" applyNumberFormat="1" applyFont="1" applyFill="1" applyBorder="1" applyAlignment="1">
      <alignment horizontal="center"/>
    </xf>
    <xf numFmtId="166" fontId="0" fillId="22" borderId="147" xfId="4" applyNumberFormat="1" applyFont="1" applyFill="1" applyBorder="1"/>
    <xf numFmtId="0" fontId="70" fillId="0" borderId="185" xfId="0" applyFont="1" applyBorder="1" applyAlignment="1">
      <alignment wrapText="1"/>
    </xf>
    <xf numFmtId="44" fontId="71" fillId="0" borderId="65" xfId="7" applyFont="1" applyBorder="1" applyAlignment="1">
      <alignment horizontal="center"/>
    </xf>
    <xf numFmtId="0" fontId="72" fillId="0" borderId="66" xfId="0" applyFont="1" applyBorder="1" applyAlignment="1">
      <alignment horizontal="center"/>
    </xf>
    <xf numFmtId="1" fontId="0" fillId="22" borderId="148" xfId="4" applyNumberFormat="1" applyFont="1" applyFill="1" applyBorder="1" applyAlignment="1">
      <alignment horizontal="center"/>
    </xf>
    <xf numFmtId="166" fontId="0" fillId="22" borderId="148" xfId="4" applyNumberFormat="1" applyFont="1" applyFill="1" applyBorder="1"/>
    <xf numFmtId="0" fontId="72" fillId="0" borderId="0" xfId="0" applyFont="1"/>
    <xf numFmtId="0" fontId="1" fillId="15" borderId="6" xfId="0" applyFont="1" applyFill="1" applyBorder="1" applyAlignment="1">
      <alignment horizontal="left" vertical="center"/>
    </xf>
    <xf numFmtId="0" fontId="70" fillId="30" borderId="125" xfId="0" applyFont="1" applyFill="1" applyBorder="1" applyAlignment="1">
      <alignment horizontal="center" vertical="center" wrapText="1"/>
    </xf>
    <xf numFmtId="44" fontId="71" fillId="30" borderId="125" xfId="7" applyFont="1" applyFill="1" applyBorder="1" applyAlignment="1">
      <alignment horizontal="center"/>
    </xf>
    <xf numFmtId="44" fontId="71" fillId="30" borderId="186" xfId="7" applyFont="1" applyFill="1" applyBorder="1" applyAlignment="1">
      <alignment horizontal="center"/>
    </xf>
    <xf numFmtId="0" fontId="68" fillId="25" borderId="28" xfId="0" applyFont="1" applyFill="1" applyBorder="1" applyAlignment="1">
      <alignment vertical="center" wrapText="1"/>
    </xf>
    <xf numFmtId="0" fontId="68" fillId="25" borderId="29" xfId="0" applyFont="1" applyFill="1" applyBorder="1" applyAlignment="1">
      <alignment vertical="top" wrapText="1"/>
    </xf>
    <xf numFmtId="0" fontId="68" fillId="25" borderId="29" xfId="0" applyFont="1" applyFill="1" applyBorder="1" applyAlignment="1">
      <alignment horizontal="right" vertical="top" wrapText="1"/>
    </xf>
    <xf numFmtId="0" fontId="1" fillId="25" borderId="29" xfId="0" applyFont="1" applyFill="1" applyBorder="1" applyAlignment="1">
      <alignment vertical="top"/>
    </xf>
    <xf numFmtId="44" fontId="69" fillId="25" borderId="29" xfId="7" applyFont="1" applyFill="1" applyBorder="1" applyAlignment="1">
      <alignment horizontal="left" vertical="top"/>
    </xf>
    <xf numFmtId="44" fontId="69" fillId="25" borderId="182" xfId="7" applyFont="1" applyFill="1" applyBorder="1" applyAlignment="1">
      <alignment horizontal="left" vertical="top"/>
    </xf>
    <xf numFmtId="44" fontId="77" fillId="29" borderId="182" xfId="7" applyFont="1" applyFill="1" applyBorder="1" applyAlignment="1">
      <alignment horizontal="left" vertical="top"/>
    </xf>
    <xf numFmtId="0" fontId="76" fillId="31" borderId="0" xfId="0" applyFont="1" applyFill="1" applyAlignment="1">
      <alignment vertical="top"/>
    </xf>
    <xf numFmtId="44" fontId="76" fillId="31" borderId="0" xfId="7" applyFont="1" applyFill="1" applyAlignment="1">
      <alignment horizontal="right" vertical="top"/>
    </xf>
    <xf numFmtId="44" fontId="76" fillId="31" borderId="0" xfId="7" applyFont="1" applyFill="1" applyAlignment="1">
      <alignment horizontal="left" vertical="top"/>
    </xf>
    <xf numFmtId="44" fontId="75" fillId="31" borderId="181" xfId="7" applyFont="1" applyFill="1" applyBorder="1" applyAlignment="1">
      <alignment horizontal="left" vertical="top"/>
    </xf>
    <xf numFmtId="0" fontId="78" fillId="31" borderId="0" xfId="0" applyFont="1" applyFill="1" applyAlignment="1">
      <alignment vertical="top"/>
    </xf>
    <xf numFmtId="44" fontId="74" fillId="10" borderId="182" xfId="7" applyFont="1" applyFill="1" applyBorder="1" applyAlignment="1">
      <alignment horizontal="left" vertical="top"/>
    </xf>
    <xf numFmtId="44" fontId="79" fillId="32" borderId="182" xfId="7" applyNumberFormat="1" applyFont="1" applyFill="1" applyBorder="1" applyAlignment="1">
      <alignment horizontal="left" vertical="top"/>
    </xf>
    <xf numFmtId="0" fontId="79" fillId="32" borderId="24" xfId="0" applyFont="1" applyFill="1" applyBorder="1" applyAlignment="1">
      <alignment vertical="center" wrapText="1"/>
    </xf>
    <xf numFmtId="0" fontId="4" fillId="32" borderId="0" xfId="0" applyFont="1" applyFill="1" applyBorder="1" applyAlignment="1"/>
    <xf numFmtId="44" fontId="79" fillId="32" borderId="181" xfId="7" applyFont="1" applyFill="1" applyBorder="1" applyAlignment="1">
      <alignment horizontal="left" vertical="top"/>
    </xf>
    <xf numFmtId="44" fontId="0" fillId="0" borderId="0" xfId="0" applyNumberFormat="1"/>
    <xf numFmtId="0" fontId="0" fillId="0" borderId="0" xfId="0" applyAlignment="1">
      <alignment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5" borderId="53" xfId="3" applyFont="1" applyBorder="1" applyAlignment="1">
      <alignment horizontal="center" vertical="center" wrapText="1"/>
    </xf>
    <xf numFmtId="0" fontId="21" fillId="5" borderId="56" xfId="3" applyFont="1" applyBorder="1" applyAlignment="1">
      <alignment horizontal="center" vertical="center" wrapText="1"/>
    </xf>
    <xf numFmtId="0" fontId="23" fillId="3" borderId="67" xfId="1" applyFont="1" applyBorder="1" applyAlignment="1">
      <alignment horizontal="center" vertical="center" wrapText="1"/>
    </xf>
    <xf numFmtId="0" fontId="23" fillId="3" borderId="68" xfId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6" fillId="8" borderId="62" xfId="0" applyFont="1" applyFill="1" applyBorder="1" applyAlignment="1">
      <alignment horizontal="right" vertical="center" wrapText="1"/>
    </xf>
    <xf numFmtId="0" fontId="16" fillId="8" borderId="34" xfId="0" applyFont="1" applyFill="1" applyBorder="1" applyAlignment="1">
      <alignment horizontal="right" vertical="center" wrapText="1"/>
    </xf>
    <xf numFmtId="0" fontId="18" fillId="17" borderId="22" xfId="0" applyFont="1" applyFill="1" applyBorder="1" applyAlignment="1">
      <alignment horizontal="left" vertical="center" wrapText="1"/>
    </xf>
    <xf numFmtId="0" fontId="18" fillId="17" borderId="38" xfId="0" applyFont="1" applyFill="1" applyBorder="1" applyAlignment="1">
      <alignment horizontal="left" vertical="center" wrapText="1"/>
    </xf>
    <xf numFmtId="0" fontId="16" fillId="8" borderId="63" xfId="0" applyFont="1" applyFill="1" applyBorder="1" applyAlignment="1">
      <alignment horizontal="right" vertical="center" wrapText="1"/>
    </xf>
    <xf numFmtId="0" fontId="16" fillId="8" borderId="64" xfId="0" applyFont="1" applyFill="1" applyBorder="1" applyAlignment="1">
      <alignment horizontal="right" vertical="center" wrapText="1"/>
    </xf>
    <xf numFmtId="0" fontId="18" fillId="17" borderId="65" xfId="0" applyFont="1" applyFill="1" applyBorder="1" applyAlignment="1">
      <alignment horizontal="left" vertical="center"/>
    </xf>
    <xf numFmtId="0" fontId="18" fillId="17" borderId="66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4" borderId="52" xfId="2" applyFont="1" applyBorder="1" applyAlignment="1">
      <alignment horizontal="center" vertical="center" wrapText="1"/>
    </xf>
    <xf numFmtId="0" fontId="22" fillId="4" borderId="44" xfId="2" applyFont="1" applyBorder="1" applyAlignment="1">
      <alignment horizontal="center" vertical="center" wrapText="1"/>
    </xf>
    <xf numFmtId="0" fontId="16" fillId="17" borderId="22" xfId="0" applyFont="1" applyFill="1" applyBorder="1" applyAlignment="1">
      <alignment horizontal="center" vertical="center" wrapText="1"/>
    </xf>
    <xf numFmtId="0" fontId="16" fillId="17" borderId="3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6" fillId="8" borderId="58" xfId="0" applyFont="1" applyFill="1" applyBorder="1" applyAlignment="1">
      <alignment horizontal="right" vertical="center" wrapText="1"/>
    </xf>
    <xf numFmtId="0" fontId="16" fillId="8" borderId="59" xfId="0" applyFont="1" applyFill="1" applyBorder="1" applyAlignment="1">
      <alignment horizontal="right" vertical="center" wrapText="1"/>
    </xf>
    <xf numFmtId="0" fontId="17" fillId="17" borderId="60" xfId="0" applyFont="1" applyFill="1" applyBorder="1" applyAlignment="1">
      <alignment horizontal="center" vertical="center" wrapText="1"/>
    </xf>
    <xf numFmtId="0" fontId="17" fillId="17" borderId="61" xfId="0" applyFont="1" applyFill="1" applyBorder="1" applyAlignment="1">
      <alignment horizontal="center" vertical="center" wrapText="1"/>
    </xf>
    <xf numFmtId="0" fontId="33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4" xfId="0" applyFont="1" applyFill="1" applyBorder="1" applyAlignment="1">
      <alignment horizontal="center" vertical="top" wrapText="1"/>
    </xf>
    <xf numFmtId="0" fontId="9" fillId="6" borderId="175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32" fillId="0" borderId="24" xfId="0" applyFont="1" applyFill="1" applyBorder="1" applyAlignment="1" applyProtection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0" fontId="27" fillId="0" borderId="26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6" fillId="11" borderId="28" xfId="0" applyFont="1" applyFill="1" applyBorder="1" applyAlignment="1">
      <alignment horizontal="left"/>
    </xf>
    <xf numFmtId="0" fontId="26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11" borderId="0" xfId="0" applyFont="1" applyFill="1" applyAlignment="1">
      <alignment horizontal="left"/>
    </xf>
    <xf numFmtId="0" fontId="26" fillId="10" borderId="28" xfId="0" applyFont="1" applyFill="1" applyBorder="1" applyAlignment="1">
      <alignment horizontal="left"/>
    </xf>
    <xf numFmtId="0" fontId="26" fillId="10" borderId="29" xfId="0" applyFont="1" applyFill="1" applyBorder="1" applyAlignment="1">
      <alignment horizontal="left"/>
    </xf>
    <xf numFmtId="0" fontId="26" fillId="10" borderId="0" xfId="0" applyFont="1" applyFill="1" applyAlignment="1">
      <alignment horizontal="left"/>
    </xf>
    <xf numFmtId="0" fontId="68" fillId="31" borderId="183" xfId="0" applyFont="1" applyFill="1" applyBorder="1" applyAlignment="1">
      <alignment horizontal="left" vertical="top" wrapText="1"/>
    </xf>
    <xf numFmtId="0" fontId="67" fillId="29" borderId="28" xfId="0" applyFont="1" applyFill="1" applyBorder="1" applyAlignment="1">
      <alignment vertical="center" wrapText="1"/>
    </xf>
    <xf numFmtId="0" fontId="51" fillId="29" borderId="29" xfId="0" applyFont="1" applyFill="1" applyBorder="1" applyAlignment="1"/>
    <xf numFmtId="0" fontId="51" fillId="29" borderId="187" xfId="0" applyFont="1" applyFill="1" applyBorder="1" applyAlignment="1"/>
    <xf numFmtId="0" fontId="74" fillId="10" borderId="28" xfId="0" applyFont="1" applyFill="1" applyBorder="1" applyAlignment="1">
      <alignment vertical="center" wrapText="1"/>
    </xf>
    <xf numFmtId="0" fontId="0" fillId="10" borderId="29" xfId="0" applyFill="1" applyBorder="1" applyAlignment="1"/>
    <xf numFmtId="0" fontId="0" fillId="10" borderId="187" xfId="0" applyFill="1" applyBorder="1" applyAlignment="1"/>
    <xf numFmtId="0" fontId="70" fillId="0" borderId="87" xfId="0" applyFont="1" applyBorder="1" applyAlignment="1">
      <alignment horizontal="center" vertical="center" wrapText="1"/>
    </xf>
    <xf numFmtId="0" fontId="70" fillId="0" borderId="184" xfId="0" applyFont="1" applyBorder="1" applyAlignment="1">
      <alignment horizontal="center" vertical="center" wrapText="1"/>
    </xf>
    <xf numFmtId="0" fontId="70" fillId="0" borderId="60" xfId="0" applyFont="1" applyBorder="1" applyAlignment="1">
      <alignment horizontal="center" wrapText="1"/>
    </xf>
    <xf numFmtId="0" fontId="70" fillId="0" borderId="119" xfId="0" applyFont="1" applyBorder="1" applyAlignment="1">
      <alignment horizontal="center" wrapText="1"/>
    </xf>
    <xf numFmtId="0" fontId="70" fillId="0" borderId="61" xfId="0" applyFont="1" applyBorder="1" applyAlignment="1">
      <alignment horizontal="center" wrapText="1"/>
    </xf>
    <xf numFmtId="0" fontId="35" fillId="12" borderId="28" xfId="0" applyFont="1" applyFill="1" applyBorder="1" applyAlignment="1">
      <alignment horizontal="center" vertical="center" wrapText="1"/>
    </xf>
    <xf numFmtId="0" fontId="35" fillId="12" borderId="29" xfId="0" applyFont="1" applyFill="1" applyBorder="1" applyAlignment="1">
      <alignment horizontal="center" vertical="center" wrapText="1"/>
    </xf>
    <xf numFmtId="0" fontId="35" fillId="12" borderId="30" xfId="0" applyFont="1" applyFill="1" applyBorder="1" applyAlignment="1">
      <alignment horizontal="center" vertical="center" wrapText="1"/>
    </xf>
    <xf numFmtId="0" fontId="35" fillId="12" borderId="8" xfId="0" applyFont="1" applyFill="1" applyBorder="1" applyAlignment="1">
      <alignment horizontal="center" vertical="center" wrapText="1"/>
    </xf>
    <xf numFmtId="0" fontId="35" fillId="12" borderId="80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56" fillId="12" borderId="8" xfId="0" applyFont="1" applyFill="1" applyBorder="1" applyAlignment="1">
      <alignment horizontal="center" vertical="center" wrapText="1"/>
    </xf>
    <xf numFmtId="0" fontId="56" fillId="12" borderId="9" xfId="0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/>
    </xf>
    <xf numFmtId="0" fontId="35" fillId="12" borderId="14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6" fontId="47" fillId="3" borderId="8" xfId="4" applyNumberFormat="1" applyFont="1" applyFill="1" applyBorder="1" applyAlignment="1">
      <alignment horizontal="right" vertical="top" wrapText="1"/>
    </xf>
    <xf numFmtId="166" fontId="47" fillId="3" borderId="9" xfId="4" applyNumberFormat="1" applyFont="1" applyFill="1" applyBorder="1" applyAlignment="1">
      <alignment horizontal="right" vertical="top" wrapText="1"/>
    </xf>
    <xf numFmtId="166" fontId="47" fillId="3" borderId="8" xfId="4" applyNumberFormat="1" applyFont="1" applyFill="1" applyBorder="1" applyAlignment="1">
      <alignment vertical="top" wrapText="1"/>
    </xf>
    <xf numFmtId="166" fontId="47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47" fillId="3" borderId="8" xfId="4" applyNumberFormat="1" applyFont="1" applyFill="1" applyBorder="1" applyAlignment="1">
      <alignment vertical="top" wrapText="1"/>
    </xf>
    <xf numFmtId="2" fontId="47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1" fillId="22" borderId="14" xfId="0" applyFont="1" applyFill="1" applyBorder="1" applyAlignment="1">
      <alignment horizontal="center"/>
    </xf>
    <xf numFmtId="0" fontId="61" fillId="22" borderId="2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5" fillId="12" borderId="8" xfId="0" applyFont="1" applyFill="1" applyBorder="1" applyAlignment="1">
      <alignment horizontal="left" vertical="center"/>
    </xf>
    <xf numFmtId="0" fontId="35" fillId="12" borderId="8" xfId="0" applyFont="1" applyFill="1" applyBorder="1" applyAlignment="1">
      <alignment horizontal="center" vertical="center"/>
    </xf>
    <xf numFmtId="0" fontId="35" fillId="12" borderId="8" xfId="0" applyFont="1" applyFill="1" applyBorder="1" applyAlignment="1">
      <alignment horizontal="left" vertical="center" wrapText="1"/>
    </xf>
    <xf numFmtId="0" fontId="80" fillId="19" borderId="0" xfId="0" applyFont="1" applyFill="1" applyAlignment="1">
      <alignment horizontal="left"/>
    </xf>
    <xf numFmtId="0" fontId="0" fillId="19" borderId="0" xfId="0" applyFill="1" applyAlignment="1">
      <alignment horizontal="left"/>
    </xf>
    <xf numFmtId="0" fontId="0" fillId="19" borderId="0" xfId="0" applyFill="1"/>
    <xf numFmtId="0" fontId="0" fillId="19" borderId="0" xfId="0" applyFill="1" applyAlignment="1">
      <alignment vertical="top" wrapText="1"/>
    </xf>
    <xf numFmtId="0" fontId="81" fillId="0" borderId="0" xfId="0" applyFont="1" applyAlignment="1">
      <alignment horizontal="left" vertical="center" indent="1"/>
    </xf>
    <xf numFmtId="0" fontId="82" fillId="0" borderId="0" xfId="0" applyFont="1" applyAlignment="1">
      <alignment horizontal="right" vertical="center"/>
    </xf>
    <xf numFmtId="2" fontId="82" fillId="0" borderId="0" xfId="0" applyNumberFormat="1" applyFont="1" applyAlignment="1">
      <alignment vertical="center"/>
    </xf>
    <xf numFmtId="44" fontId="83" fillId="20" borderId="0" xfId="7" applyFont="1" applyFill="1" applyAlignment="1">
      <alignment horizontal="center" vertical="center" wrapText="1"/>
    </xf>
    <xf numFmtId="0" fontId="82" fillId="0" borderId="0" xfId="0" applyFont="1" applyAlignment="1">
      <alignment vertical="top" wrapText="1"/>
    </xf>
    <xf numFmtId="0" fontId="82" fillId="0" borderId="0" xfId="0" applyFont="1"/>
    <xf numFmtId="0" fontId="82" fillId="0" borderId="0" xfId="0" applyFont="1" applyAlignment="1">
      <alignment horizontal="left"/>
    </xf>
    <xf numFmtId="0" fontId="82" fillId="19" borderId="0" xfId="0" applyFont="1" applyFill="1"/>
    <xf numFmtId="2" fontId="82" fillId="19" borderId="0" xfId="0" applyNumberFormat="1" applyFont="1" applyFill="1"/>
    <xf numFmtId="2" fontId="83" fillId="19" borderId="0" xfId="0" applyNumberFormat="1" applyFont="1" applyFill="1"/>
    <xf numFmtId="2" fontId="82" fillId="19" borderId="0" xfId="0" applyNumberFormat="1" applyFont="1" applyFill="1" applyAlignment="1">
      <alignment vertical="top" wrapText="1"/>
    </xf>
    <xf numFmtId="0" fontId="0" fillId="19" borderId="0" xfId="0" applyFill="1" applyAlignment="1">
      <alignment horizontal="left" vertical="center"/>
    </xf>
    <xf numFmtId="0" fontId="82" fillId="19" borderId="0" xfId="0" applyFont="1" applyFill="1" applyAlignment="1">
      <alignment vertical="center"/>
    </xf>
    <xf numFmtId="2" fontId="82" fillId="19" borderId="0" xfId="0" applyNumberFormat="1" applyFont="1" applyFill="1" applyAlignment="1">
      <alignment vertical="center"/>
    </xf>
    <xf numFmtId="2" fontId="83" fillId="19" borderId="0" xfId="0" applyNumberFormat="1" applyFont="1" applyFill="1" applyAlignment="1">
      <alignment vertical="center"/>
    </xf>
    <xf numFmtId="0" fontId="81" fillId="0" borderId="0" xfId="0" applyFont="1" applyAlignment="1">
      <alignment horizontal="left" vertical="center" indent="2"/>
    </xf>
    <xf numFmtId="0" fontId="82" fillId="0" borderId="0" xfId="0" applyFont="1" applyAlignment="1">
      <alignment vertical="center"/>
    </xf>
    <xf numFmtId="0" fontId="84" fillId="0" borderId="0" xfId="6" applyFont="1" applyAlignment="1">
      <alignment vertical="top" wrapText="1"/>
    </xf>
    <xf numFmtId="0" fontId="0" fillId="29" borderId="0" xfId="0" applyFill="1" applyAlignment="1">
      <alignment horizontal="left"/>
    </xf>
    <xf numFmtId="0" fontId="82" fillId="29" borderId="0" xfId="0" applyFont="1" applyFill="1"/>
    <xf numFmtId="44" fontId="85" fillId="29" borderId="0" xfId="7" applyFont="1" applyFill="1" applyAlignment="1">
      <alignment horizontal="center" vertical="center" wrapText="1"/>
    </xf>
    <xf numFmtId="0" fontId="82" fillId="29" borderId="0" xfId="0" applyFont="1" applyFill="1" applyAlignment="1">
      <alignment vertical="top" wrapText="1"/>
    </xf>
    <xf numFmtId="2" fontId="0" fillId="0" borderId="0" xfId="0" applyNumberFormat="1"/>
    <xf numFmtId="0" fontId="57" fillId="0" borderId="0" xfId="6" applyAlignment="1">
      <alignment vertical="top" wrapText="1"/>
    </xf>
  </cellXfs>
  <cellStyles count="9">
    <cellStyle name="Čiarka" xfId="5" builtinId="3"/>
    <cellStyle name="Dobrá" xfId="1" builtinId="26"/>
    <cellStyle name="Hypertextové prepojenie" xfId="6" builtinId="8"/>
    <cellStyle name="Kontrolná bunka" xfId="8" builtinId="23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cet_Z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ia"/>
      <sheetName val="Harmonogram"/>
      <sheetName val="Rozpočet_vývoj"/>
      <sheetName val="Limity"/>
      <sheetName val="INFRA"/>
      <sheetName val="SEC"/>
      <sheetName val="ST"/>
      <sheetName val="DT"/>
      <sheetName val="EM"/>
      <sheetName val="EM.detail"/>
      <sheetName val="Q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E33">
            <v>28963</v>
          </cell>
        </row>
      </sheetData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shop.ptacek.sk/detail-produktu.aspx?wlQgymnnJAc8jB9lC0GP7hUEcI54JwTt" TargetMode="External"/><Relationship Id="rId2" Type="http://schemas.openxmlformats.org/officeDocument/2006/relationships/hyperlink" Target="https://www.mirad.sk/tovar/98687/plynomer-podruz-bk-g4-m-a-100-dn25-absolut-encoder-ae5-acm-m-bus-wire" TargetMode="External"/><Relationship Id="rId1" Type="http://schemas.openxmlformats.org/officeDocument/2006/relationships/hyperlink" Target="https://www.empiria.sk/Prilohy/254170004689_0.pdf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www.distrelec.sk/sk/napajeci-zdroj-na-listu-din-13-8v-5a-100w-nastavitelny-mean-well-drc-100a/p/30010732?gclid=Cj0KCQjwgJv4BRCrARIsAB17JI78auppECdfGNZ_ryBiEaloWocOm-tjNB2UNp3IUgRpBReRWiGqsU8aAgW3EALw_wcB&amp;ext_cid=gpgooaqsksk-mmpn&amp;ext_cid=gpgooaqsksk-mmpn&amp;kw=%7Bkeyword%7D&amp;kw=%2Bdrc-100a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zoomScale="60" zoomScaleNormal="100" workbookViewId="0"/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7"/>
      <c r="B1" s="37"/>
      <c r="C1" s="37"/>
      <c r="D1" s="37"/>
      <c r="E1" s="37"/>
      <c r="F1" s="37"/>
      <c r="G1" s="37"/>
      <c r="H1" s="37"/>
      <c r="I1" s="37"/>
      <c r="J1" s="348"/>
      <c r="K1" s="349"/>
      <c r="L1" s="349"/>
      <c r="M1" s="349"/>
      <c r="N1" s="349"/>
      <c r="O1" s="349"/>
      <c r="P1" s="349"/>
      <c r="Q1" s="349"/>
      <c r="R1" s="349"/>
    </row>
    <row r="2" spans="1:18" x14ac:dyDescent="0.3">
      <c r="A2" s="37"/>
      <c r="B2" s="37"/>
      <c r="C2" s="37"/>
      <c r="D2" s="37"/>
      <c r="E2" s="37"/>
      <c r="F2" s="37"/>
      <c r="G2" s="37"/>
      <c r="H2" s="37"/>
      <c r="I2" s="37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49"/>
      <c r="K4" s="349"/>
      <c r="L4" s="349"/>
      <c r="M4" s="349"/>
      <c r="N4" s="349"/>
      <c r="O4" s="349"/>
      <c r="P4" s="349"/>
      <c r="Q4" s="349"/>
      <c r="R4" s="349"/>
    </row>
    <row r="5" spans="1:18" x14ac:dyDescent="0.3">
      <c r="A5" s="37"/>
      <c r="B5" s="37"/>
      <c r="C5" s="37"/>
      <c r="D5" s="37"/>
      <c r="E5" s="37"/>
      <c r="F5" s="37"/>
      <c r="G5" s="37"/>
      <c r="H5" s="37"/>
      <c r="I5" s="37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62.1" customHeight="1" x14ac:dyDescent="0.6">
      <c r="A6" s="696" t="s">
        <v>115</v>
      </c>
      <c r="B6" s="696"/>
      <c r="C6" s="696"/>
      <c r="D6" s="696"/>
      <c r="E6" s="696"/>
      <c r="F6" s="696"/>
      <c r="G6" s="696"/>
      <c r="H6" s="696"/>
      <c r="I6" s="696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8.75" customHeight="1" x14ac:dyDescent="0.35">
      <c r="A7" s="677" t="s">
        <v>67</v>
      </c>
      <c r="B7" s="677"/>
      <c r="C7" s="677"/>
      <c r="D7" s="677"/>
      <c r="E7" s="677"/>
      <c r="F7" s="677"/>
      <c r="G7" s="677"/>
      <c r="H7" s="677"/>
      <c r="I7" s="677"/>
      <c r="J7" s="349"/>
      <c r="K7" s="349"/>
      <c r="L7" s="349"/>
      <c r="M7" s="349"/>
      <c r="N7" s="349"/>
      <c r="O7" s="349"/>
      <c r="P7" s="349"/>
      <c r="Q7" s="349"/>
      <c r="R7" s="349"/>
    </row>
    <row r="8" spans="1:18" x14ac:dyDescent="0.3">
      <c r="A8" s="697" t="s">
        <v>62</v>
      </c>
      <c r="B8" s="697"/>
      <c r="C8" s="697"/>
      <c r="D8" s="697"/>
      <c r="E8" s="697"/>
      <c r="F8" s="697"/>
      <c r="G8" s="697"/>
      <c r="H8" s="697"/>
      <c r="I8" s="697"/>
      <c r="J8" s="349"/>
      <c r="K8" s="349"/>
      <c r="L8" s="349"/>
      <c r="M8" s="349"/>
      <c r="N8" s="349"/>
      <c r="O8" s="349"/>
      <c r="P8" s="349"/>
      <c r="Q8" s="349"/>
      <c r="R8" s="349"/>
    </row>
    <row r="9" spans="1:18" ht="15" customHeight="1" x14ac:dyDescent="0.3">
      <c r="A9" s="697"/>
      <c r="B9" s="697"/>
      <c r="C9" s="697"/>
      <c r="D9" s="697"/>
      <c r="E9" s="697"/>
      <c r="F9" s="697"/>
      <c r="G9" s="697"/>
      <c r="H9" s="697"/>
      <c r="I9" s="697"/>
      <c r="J9" s="349"/>
      <c r="K9" s="349"/>
      <c r="L9" s="349"/>
      <c r="M9" s="349"/>
      <c r="N9" s="349"/>
      <c r="O9" s="349"/>
      <c r="P9" s="349"/>
      <c r="Q9" s="349"/>
      <c r="R9" s="349"/>
    </row>
    <row r="10" spans="1:18" ht="48.6" customHeight="1" x14ac:dyDescent="0.3">
      <c r="A10" s="697"/>
      <c r="B10" s="697"/>
      <c r="C10" s="697"/>
      <c r="D10" s="697"/>
      <c r="E10" s="697"/>
      <c r="F10" s="697"/>
      <c r="G10" s="697"/>
      <c r="H10" s="697"/>
      <c r="I10" s="697"/>
      <c r="J10" s="349"/>
      <c r="K10" s="349"/>
      <c r="L10" s="349"/>
      <c r="M10" s="349"/>
      <c r="N10" s="349"/>
      <c r="O10" s="349"/>
      <c r="P10" s="349"/>
      <c r="Q10" s="349"/>
      <c r="R10" s="349"/>
    </row>
    <row r="11" spans="1:18" ht="1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49"/>
      <c r="K11" s="349"/>
      <c r="L11" s="349"/>
      <c r="M11" s="349"/>
      <c r="N11" s="349"/>
      <c r="O11" s="349"/>
      <c r="P11" s="349"/>
      <c r="Q11" s="349"/>
      <c r="R11" s="349"/>
    </row>
    <row r="12" spans="1:18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49"/>
      <c r="K12" s="349"/>
      <c r="L12" s="349"/>
      <c r="M12" s="349"/>
      <c r="N12" s="349"/>
      <c r="O12" s="349"/>
      <c r="P12" s="349"/>
      <c r="Q12" s="349"/>
      <c r="R12" s="349"/>
    </row>
    <row r="13" spans="1:18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49"/>
      <c r="K13" s="349"/>
      <c r="L13" s="349"/>
      <c r="M13" s="349"/>
      <c r="N13" s="349"/>
      <c r="O13" s="349"/>
      <c r="P13" s="349"/>
      <c r="Q13" s="349"/>
      <c r="R13" s="349"/>
    </row>
    <row r="14" spans="1:18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49"/>
      <c r="K14" s="349"/>
      <c r="L14" s="349"/>
      <c r="M14" s="349"/>
      <c r="N14" s="349"/>
      <c r="O14" s="349"/>
      <c r="P14" s="349"/>
      <c r="Q14" s="349"/>
      <c r="R14" s="349"/>
    </row>
    <row r="15" spans="1:18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49"/>
      <c r="K15" s="349"/>
      <c r="L15" s="349"/>
      <c r="M15" s="349"/>
      <c r="N15" s="349"/>
      <c r="O15" s="349"/>
      <c r="P15" s="349"/>
      <c r="Q15" s="349"/>
      <c r="R15" s="349"/>
    </row>
    <row r="16" spans="1:18" x14ac:dyDescent="0.3">
      <c r="B16" s="37"/>
      <c r="C16" s="37"/>
      <c r="D16" s="37"/>
      <c r="E16" s="37"/>
      <c r="F16" s="37"/>
      <c r="G16" s="37"/>
      <c r="H16" s="37"/>
      <c r="I16" s="37"/>
      <c r="J16" s="349"/>
      <c r="K16" s="349"/>
      <c r="L16" s="349"/>
      <c r="M16" s="349"/>
      <c r="N16" s="349"/>
      <c r="O16" s="349"/>
      <c r="P16" s="349"/>
      <c r="Q16" s="349"/>
      <c r="R16" s="349"/>
    </row>
    <row r="17" spans="1:18" x14ac:dyDescent="0.3">
      <c r="B17" s="37"/>
      <c r="C17" s="37"/>
      <c r="D17" s="37"/>
      <c r="E17" s="37"/>
      <c r="F17" s="37"/>
      <c r="G17" s="37"/>
      <c r="H17" s="37"/>
      <c r="I17" s="37"/>
      <c r="J17" s="349"/>
      <c r="K17" s="349"/>
      <c r="L17" s="349"/>
      <c r="M17" s="349"/>
      <c r="N17" s="349"/>
      <c r="O17" s="349"/>
      <c r="P17" s="349"/>
      <c r="Q17" s="349"/>
      <c r="R17" s="349"/>
    </row>
    <row r="18" spans="1:18" ht="15" thickBot="1" x14ac:dyDescent="0.35">
      <c r="B18" s="37"/>
      <c r="C18" s="37"/>
      <c r="D18" s="37"/>
      <c r="E18" s="37"/>
      <c r="F18" s="37"/>
      <c r="G18" s="37"/>
      <c r="H18" s="37"/>
      <c r="I18" s="37"/>
      <c r="J18" s="349"/>
      <c r="K18" s="349"/>
      <c r="L18" s="349"/>
      <c r="M18" s="349"/>
      <c r="N18" s="349"/>
      <c r="O18" s="349"/>
      <c r="P18" s="349"/>
      <c r="Q18" s="349"/>
      <c r="R18" s="349"/>
    </row>
    <row r="19" spans="1:18" x14ac:dyDescent="0.3">
      <c r="A19" s="698" t="s">
        <v>116</v>
      </c>
      <c r="B19" s="699"/>
      <c r="C19" s="700"/>
      <c r="D19" s="700"/>
      <c r="E19" s="700"/>
      <c r="F19" s="700"/>
      <c r="G19" s="700"/>
      <c r="H19" s="700"/>
      <c r="I19" s="701"/>
      <c r="J19" s="349"/>
      <c r="K19" s="349"/>
      <c r="L19" s="349"/>
      <c r="M19" s="349"/>
      <c r="N19" s="349"/>
      <c r="O19" s="349"/>
      <c r="P19" s="349"/>
      <c r="Q19" s="349"/>
      <c r="R19" s="349"/>
    </row>
    <row r="20" spans="1:18" x14ac:dyDescent="0.3">
      <c r="A20" s="678" t="s">
        <v>120</v>
      </c>
      <c r="B20" s="679"/>
      <c r="C20" s="694"/>
      <c r="D20" s="694"/>
      <c r="E20" s="694"/>
      <c r="F20" s="694"/>
      <c r="G20" s="694"/>
      <c r="H20" s="694"/>
      <c r="I20" s="695"/>
      <c r="J20" s="349"/>
      <c r="K20" s="349"/>
      <c r="L20" s="349"/>
      <c r="M20" s="349"/>
      <c r="N20" s="349"/>
      <c r="O20" s="349"/>
      <c r="P20" s="349"/>
      <c r="Q20" s="349"/>
      <c r="R20" s="349"/>
    </row>
    <row r="21" spans="1:18" x14ac:dyDescent="0.3">
      <c r="A21" s="678" t="s">
        <v>119</v>
      </c>
      <c r="B21" s="679"/>
      <c r="C21" s="694"/>
      <c r="D21" s="694"/>
      <c r="E21" s="694"/>
      <c r="F21" s="694"/>
      <c r="G21" s="694"/>
      <c r="H21" s="694"/>
      <c r="I21" s="695"/>
      <c r="J21" s="349"/>
      <c r="K21" s="349"/>
      <c r="L21" s="349"/>
      <c r="M21" s="349"/>
      <c r="N21" s="349"/>
      <c r="O21" s="349"/>
      <c r="P21" s="349"/>
      <c r="Q21" s="349"/>
      <c r="R21" s="349"/>
    </row>
    <row r="22" spans="1:18" ht="14.4" customHeight="1" x14ac:dyDescent="0.3">
      <c r="A22" s="678" t="s">
        <v>51</v>
      </c>
      <c r="B22" s="679"/>
      <c r="C22" s="694"/>
      <c r="D22" s="694"/>
      <c r="E22" s="694"/>
      <c r="F22" s="694"/>
      <c r="G22" s="694"/>
      <c r="H22" s="694"/>
      <c r="I22" s="695"/>
      <c r="J22" s="349"/>
      <c r="K22" s="349"/>
      <c r="L22" s="349"/>
      <c r="M22" s="349"/>
      <c r="N22" s="349"/>
      <c r="O22" s="349"/>
      <c r="P22" s="349"/>
      <c r="Q22" s="349"/>
      <c r="R22" s="349"/>
    </row>
    <row r="23" spans="1:18" x14ac:dyDescent="0.3">
      <c r="A23" s="678" t="s">
        <v>52</v>
      </c>
      <c r="B23" s="679"/>
      <c r="C23" s="694"/>
      <c r="D23" s="694"/>
      <c r="E23" s="694"/>
      <c r="F23" s="694"/>
      <c r="G23" s="694"/>
      <c r="H23" s="694"/>
      <c r="I23" s="695"/>
      <c r="J23" s="349"/>
      <c r="K23" s="349"/>
      <c r="L23" s="349"/>
      <c r="M23" s="349"/>
      <c r="N23" s="349"/>
      <c r="O23" s="349"/>
      <c r="P23" s="349"/>
      <c r="Q23" s="349"/>
      <c r="R23" s="349"/>
    </row>
    <row r="24" spans="1:18" x14ac:dyDescent="0.3">
      <c r="A24" s="678" t="s">
        <v>53</v>
      </c>
      <c r="B24" s="679"/>
      <c r="C24" s="694"/>
      <c r="D24" s="694"/>
      <c r="E24" s="694"/>
      <c r="F24" s="694"/>
      <c r="G24" s="694"/>
      <c r="H24" s="694"/>
      <c r="I24" s="695"/>
      <c r="J24" s="349"/>
      <c r="K24" s="349"/>
      <c r="L24" s="349"/>
      <c r="M24" s="349"/>
      <c r="N24" s="349"/>
      <c r="O24" s="349"/>
      <c r="P24" s="349"/>
      <c r="Q24" s="349"/>
      <c r="R24" s="349"/>
    </row>
    <row r="25" spans="1:18" x14ac:dyDescent="0.3">
      <c r="A25" s="678" t="s">
        <v>54</v>
      </c>
      <c r="B25" s="679"/>
      <c r="C25" s="694"/>
      <c r="D25" s="694"/>
      <c r="E25" s="694"/>
      <c r="F25" s="694"/>
      <c r="G25" s="694"/>
      <c r="H25" s="694"/>
      <c r="I25" s="695"/>
      <c r="J25" s="349"/>
      <c r="K25" s="349"/>
      <c r="L25" s="349"/>
      <c r="M25" s="349"/>
      <c r="N25" s="349"/>
      <c r="O25" s="349"/>
      <c r="P25" s="349"/>
      <c r="Q25" s="349"/>
      <c r="R25" s="349"/>
    </row>
    <row r="26" spans="1:18" x14ac:dyDescent="0.3">
      <c r="A26" s="678" t="s">
        <v>55</v>
      </c>
      <c r="B26" s="679"/>
      <c r="C26" s="694"/>
      <c r="D26" s="694"/>
      <c r="E26" s="694"/>
      <c r="F26" s="694"/>
      <c r="G26" s="694"/>
      <c r="H26" s="694"/>
      <c r="I26" s="695"/>
      <c r="J26" s="349"/>
      <c r="K26" s="349"/>
      <c r="L26" s="349"/>
      <c r="M26" s="349"/>
      <c r="N26" s="349"/>
      <c r="O26" s="349"/>
      <c r="P26" s="349"/>
      <c r="Q26" s="349"/>
      <c r="R26" s="349"/>
    </row>
    <row r="27" spans="1:18" ht="19.350000000000001" customHeight="1" x14ac:dyDescent="0.3">
      <c r="A27" s="678" t="s">
        <v>56</v>
      </c>
      <c r="B27" s="679"/>
      <c r="C27" s="680" t="s">
        <v>57</v>
      </c>
      <c r="D27" s="680"/>
      <c r="E27" s="680"/>
      <c r="F27" s="680"/>
      <c r="G27" s="680"/>
      <c r="H27" s="680"/>
      <c r="I27" s="681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18" ht="33" customHeight="1" thickBot="1" x14ac:dyDescent="0.35">
      <c r="A28" s="682" t="s">
        <v>58</v>
      </c>
      <c r="B28" s="683"/>
      <c r="C28" s="684" t="s">
        <v>59</v>
      </c>
      <c r="D28" s="684"/>
      <c r="E28" s="684"/>
      <c r="F28" s="684"/>
      <c r="G28" s="684"/>
      <c r="H28" s="684"/>
      <c r="I28" s="685"/>
      <c r="J28" s="349"/>
      <c r="K28" s="349"/>
      <c r="L28" s="349"/>
      <c r="M28" s="349"/>
      <c r="N28" s="349"/>
      <c r="O28" s="349"/>
      <c r="P28" s="349"/>
      <c r="Q28" s="349"/>
      <c r="R28" s="349"/>
    </row>
    <row r="29" spans="1:18" x14ac:dyDescent="0.3">
      <c r="A29" s="37"/>
      <c r="B29" s="37"/>
      <c r="C29" s="37"/>
      <c r="D29" s="37"/>
      <c r="E29" s="37"/>
      <c r="F29" s="37"/>
      <c r="G29" s="37"/>
      <c r="H29" s="37"/>
      <c r="I29" s="37"/>
      <c r="J29" s="349"/>
      <c r="K29" s="349"/>
      <c r="L29" s="349"/>
      <c r="M29" s="349"/>
      <c r="N29" s="349"/>
      <c r="O29" s="349"/>
      <c r="P29" s="349"/>
      <c r="Q29" s="349"/>
      <c r="R29" s="349"/>
    </row>
    <row r="30" spans="1:18" ht="15" thickBot="1" x14ac:dyDescent="0.35">
      <c r="A30" s="686" t="s">
        <v>63</v>
      </c>
      <c r="B30" s="686"/>
      <c r="C30" s="686"/>
      <c r="D30" s="686"/>
      <c r="E30" s="686"/>
      <c r="F30" s="686"/>
      <c r="G30" s="686"/>
      <c r="H30" s="686"/>
      <c r="I30" s="686"/>
      <c r="J30" s="349"/>
      <c r="K30" s="349"/>
      <c r="L30" s="349"/>
      <c r="M30" s="349"/>
      <c r="N30" s="349"/>
      <c r="O30" s="349"/>
      <c r="P30" s="349"/>
      <c r="Q30" s="349"/>
      <c r="R30" s="349"/>
    </row>
    <row r="31" spans="1:18" ht="14.4" customHeight="1" x14ac:dyDescent="0.3">
      <c r="A31" s="687" t="s">
        <v>60</v>
      </c>
      <c r="B31" s="688"/>
      <c r="C31" s="671" t="s">
        <v>61</v>
      </c>
      <c r="D31" s="671"/>
      <c r="E31" s="692" t="s">
        <v>64</v>
      </c>
      <c r="F31" s="692"/>
      <c r="G31" s="673" t="s">
        <v>65</v>
      </c>
      <c r="H31" s="673"/>
      <c r="I31" s="675" t="s">
        <v>66</v>
      </c>
      <c r="J31" s="349"/>
      <c r="K31" s="349"/>
      <c r="L31" s="349"/>
      <c r="M31" s="349"/>
      <c r="N31" s="349"/>
      <c r="O31" s="349"/>
      <c r="P31" s="349"/>
      <c r="Q31" s="349"/>
      <c r="R31" s="349"/>
    </row>
    <row r="32" spans="1:18" ht="15" thickBot="1" x14ac:dyDescent="0.35">
      <c r="A32" s="689"/>
      <c r="B32" s="690"/>
      <c r="C32" s="691"/>
      <c r="D32" s="691"/>
      <c r="E32" s="693"/>
      <c r="F32" s="693"/>
      <c r="G32" s="674"/>
      <c r="H32" s="674"/>
      <c r="I32" s="676"/>
      <c r="J32" s="349"/>
      <c r="K32" s="349"/>
      <c r="L32" s="349"/>
      <c r="M32" s="349"/>
      <c r="N32" s="349"/>
      <c r="O32" s="349"/>
      <c r="P32" s="349"/>
      <c r="Q32" s="349"/>
      <c r="R32" s="349"/>
    </row>
    <row r="33" spans="1:18" x14ac:dyDescent="0.3">
      <c r="A33" s="671"/>
      <c r="B33" s="671"/>
      <c r="C33" s="671"/>
      <c r="D33" s="671"/>
      <c r="E33" s="671"/>
      <c r="F33" s="671"/>
      <c r="G33" s="671"/>
      <c r="H33" s="671"/>
      <c r="I33" s="671"/>
      <c r="J33" s="349"/>
      <c r="K33" s="349"/>
      <c r="L33" s="349"/>
      <c r="M33" s="349"/>
      <c r="N33" s="349"/>
      <c r="O33" s="349"/>
      <c r="P33" s="349"/>
      <c r="Q33" s="349"/>
      <c r="R33" s="349"/>
    </row>
    <row r="34" spans="1:18" x14ac:dyDescent="0.3">
      <c r="A34" s="672"/>
      <c r="B34" s="672"/>
      <c r="C34" s="672"/>
      <c r="D34" s="672"/>
      <c r="E34" s="672"/>
      <c r="F34" s="672"/>
      <c r="G34" s="672"/>
      <c r="H34" s="672"/>
      <c r="I34" s="672"/>
      <c r="J34" s="349"/>
      <c r="K34" s="349"/>
      <c r="L34" s="349"/>
      <c r="M34" s="349"/>
      <c r="N34" s="349"/>
      <c r="O34" s="349"/>
      <c r="P34" s="349"/>
      <c r="Q34" s="349"/>
      <c r="R34" s="349"/>
    </row>
    <row r="35" spans="1:18" x14ac:dyDescent="0.3">
      <c r="A35" s="672"/>
      <c r="B35" s="672"/>
      <c r="C35" s="672"/>
      <c r="D35" s="672"/>
      <c r="E35" s="672"/>
      <c r="F35" s="672"/>
      <c r="G35" s="672"/>
      <c r="H35" s="672"/>
      <c r="I35" s="672"/>
      <c r="J35" s="349"/>
      <c r="K35" s="349"/>
      <c r="L35" s="349"/>
      <c r="M35" s="349"/>
      <c r="N35" s="349"/>
      <c r="O35" s="349"/>
      <c r="P35" s="349"/>
      <c r="Q35" s="349"/>
      <c r="R35" s="349"/>
    </row>
    <row r="36" spans="1:18" x14ac:dyDescent="0.3">
      <c r="A36" s="85"/>
      <c r="B36" s="85"/>
      <c r="C36" s="37"/>
      <c r="D36" s="37"/>
      <c r="E36" s="37"/>
      <c r="F36" s="37"/>
      <c r="G36" s="37"/>
      <c r="H36" s="37"/>
      <c r="I36" s="37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49"/>
      <c r="K37" s="349"/>
      <c r="L37" s="349"/>
      <c r="M37" s="349"/>
      <c r="N37" s="349"/>
      <c r="O37" s="349"/>
      <c r="P37" s="349"/>
      <c r="Q37" s="349"/>
      <c r="R37" s="349"/>
    </row>
    <row r="38" spans="1:18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49"/>
      <c r="K38" s="349"/>
      <c r="L38" s="349"/>
      <c r="M38" s="349"/>
      <c r="N38" s="349"/>
      <c r="O38" s="349"/>
      <c r="P38" s="349"/>
      <c r="Q38" s="349"/>
      <c r="R38" s="349"/>
    </row>
    <row r="39" spans="1:18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49"/>
      <c r="K39" s="349"/>
      <c r="L39" s="349"/>
      <c r="M39" s="349"/>
      <c r="N39" s="349"/>
      <c r="O39" s="349"/>
      <c r="P39" s="349"/>
      <c r="Q39" s="349"/>
      <c r="R39" s="349"/>
    </row>
    <row r="40" spans="1:18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49"/>
      <c r="K40" s="349"/>
      <c r="L40" s="349"/>
      <c r="M40" s="349"/>
      <c r="N40" s="349"/>
      <c r="O40" s="349"/>
      <c r="P40" s="349"/>
      <c r="Q40" s="349"/>
      <c r="R40" s="349"/>
    </row>
    <row r="41" spans="1:18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49"/>
      <c r="K41" s="349"/>
      <c r="L41" s="349"/>
      <c r="M41" s="349"/>
      <c r="N41" s="349"/>
      <c r="O41" s="349"/>
      <c r="P41" s="349"/>
      <c r="Q41" s="349"/>
      <c r="R41" s="349"/>
    </row>
    <row r="42" spans="1:18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49"/>
      <c r="K42" s="349"/>
      <c r="L42" s="349"/>
      <c r="M42" s="349"/>
      <c r="N42" s="349"/>
      <c r="O42" s="349"/>
      <c r="P42" s="349"/>
      <c r="Q42" s="349"/>
      <c r="R42" s="349"/>
    </row>
    <row r="43" spans="1:18" x14ac:dyDescent="0.3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3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3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3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/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320" t="s">
        <v>260</v>
      </c>
    </row>
    <row r="2" spans="1:3" ht="15" thickBot="1" x14ac:dyDescent="0.35">
      <c r="A2" s="328" t="s">
        <v>282</v>
      </c>
      <c r="B2" s="329" t="s">
        <v>283</v>
      </c>
      <c r="C2" s="330" t="s">
        <v>288</v>
      </c>
    </row>
    <row r="3" spans="1:3" x14ac:dyDescent="0.3">
      <c r="A3" s="344" t="s">
        <v>261</v>
      </c>
      <c r="B3" s="331" t="s">
        <v>285</v>
      </c>
      <c r="C3" s="257" t="s">
        <v>284</v>
      </c>
    </row>
    <row r="4" spans="1:3" x14ac:dyDescent="0.3">
      <c r="A4" s="345" t="s">
        <v>262</v>
      </c>
      <c r="B4" s="332" t="s">
        <v>286</v>
      </c>
      <c r="C4" s="333" t="s">
        <v>287</v>
      </c>
    </row>
    <row r="5" spans="1:3" x14ac:dyDescent="0.3">
      <c r="A5" s="345" t="s">
        <v>263</v>
      </c>
      <c r="B5" s="332" t="s">
        <v>289</v>
      </c>
      <c r="C5" s="333" t="s">
        <v>287</v>
      </c>
    </row>
    <row r="6" spans="1:3" x14ac:dyDescent="0.3">
      <c r="A6" s="345" t="s">
        <v>206</v>
      </c>
      <c r="B6" s="332" t="s">
        <v>290</v>
      </c>
      <c r="C6" s="255" t="s">
        <v>292</v>
      </c>
    </row>
    <row r="7" spans="1:3" x14ac:dyDescent="0.3">
      <c r="A7" s="345" t="s">
        <v>264</v>
      </c>
      <c r="B7" s="332" t="s">
        <v>291</v>
      </c>
      <c r="C7" s="333" t="s">
        <v>287</v>
      </c>
    </row>
    <row r="8" spans="1:3" x14ac:dyDescent="0.3">
      <c r="A8" s="345" t="s">
        <v>265</v>
      </c>
      <c r="B8" s="332" t="s">
        <v>293</v>
      </c>
      <c r="C8" s="255" t="s">
        <v>294</v>
      </c>
    </row>
    <row r="9" spans="1:3" x14ac:dyDescent="0.3">
      <c r="A9" s="345" t="s">
        <v>266</v>
      </c>
      <c r="B9" s="332" t="s">
        <v>295</v>
      </c>
      <c r="C9" s="333" t="s">
        <v>287</v>
      </c>
    </row>
    <row r="10" spans="1:3" x14ac:dyDescent="0.3">
      <c r="A10" s="345" t="s">
        <v>267</v>
      </c>
      <c r="B10" s="332" t="s">
        <v>296</v>
      </c>
      <c r="C10" s="255" t="s">
        <v>294</v>
      </c>
    </row>
    <row r="11" spans="1:3" x14ac:dyDescent="0.3">
      <c r="A11" s="345" t="s">
        <v>268</v>
      </c>
      <c r="B11" s="332" t="s">
        <v>297</v>
      </c>
      <c r="C11" s="255" t="s">
        <v>294</v>
      </c>
    </row>
    <row r="12" spans="1:3" x14ac:dyDescent="0.3">
      <c r="A12" s="345" t="s">
        <v>269</v>
      </c>
      <c r="B12" s="332" t="s">
        <v>298</v>
      </c>
      <c r="C12" s="255" t="s">
        <v>294</v>
      </c>
    </row>
    <row r="13" spans="1:3" x14ac:dyDescent="0.3">
      <c r="A13" s="345" t="s">
        <v>270</v>
      </c>
      <c r="B13" s="332" t="s">
        <v>299</v>
      </c>
      <c r="C13" s="255" t="s">
        <v>294</v>
      </c>
    </row>
    <row r="14" spans="1:3" x14ac:dyDescent="0.3">
      <c r="A14" s="345" t="s">
        <v>271</v>
      </c>
      <c r="B14" s="332" t="s">
        <v>326</v>
      </c>
      <c r="C14" s="255" t="s">
        <v>300</v>
      </c>
    </row>
    <row r="15" spans="1:3" x14ac:dyDescent="0.3">
      <c r="A15" s="345" t="s">
        <v>325</v>
      </c>
      <c r="B15" s="332" t="s">
        <v>327</v>
      </c>
      <c r="C15" s="255" t="s">
        <v>294</v>
      </c>
    </row>
    <row r="16" spans="1:3" x14ac:dyDescent="0.3">
      <c r="A16" s="345" t="s">
        <v>276</v>
      </c>
      <c r="B16" s="332" t="s">
        <v>301</v>
      </c>
      <c r="C16" s="255" t="s">
        <v>302</v>
      </c>
    </row>
    <row r="17" spans="1:3" x14ac:dyDescent="0.3">
      <c r="A17" s="345" t="s">
        <v>277</v>
      </c>
      <c r="B17" s="332" t="s">
        <v>303</v>
      </c>
      <c r="C17" s="255" t="s">
        <v>304</v>
      </c>
    </row>
    <row r="18" spans="1:3" ht="28.8" x14ac:dyDescent="0.3">
      <c r="A18" s="345" t="s">
        <v>278</v>
      </c>
      <c r="B18" s="343" t="s">
        <v>305</v>
      </c>
      <c r="C18" s="346" t="s">
        <v>306</v>
      </c>
    </row>
    <row r="19" spans="1:3" x14ac:dyDescent="0.3">
      <c r="A19" s="345" t="s">
        <v>279</v>
      </c>
      <c r="B19" s="332" t="s">
        <v>307</v>
      </c>
      <c r="C19" s="255" t="s">
        <v>308</v>
      </c>
    </row>
    <row r="20" spans="1:3" x14ac:dyDescent="0.3">
      <c r="A20" s="345" t="s">
        <v>280</v>
      </c>
      <c r="B20" s="332" t="s">
        <v>309</v>
      </c>
      <c r="C20" s="255" t="s">
        <v>311</v>
      </c>
    </row>
    <row r="21" spans="1:3" x14ac:dyDescent="0.3">
      <c r="A21" s="345" t="s">
        <v>281</v>
      </c>
      <c r="B21" s="332" t="s">
        <v>310</v>
      </c>
      <c r="C21" s="255" t="s">
        <v>311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view="pageBreakPreview" zoomScale="78" zoomScaleNormal="100" zoomScaleSheetLayoutView="78" workbookViewId="0">
      <selection sqref="A1:C1"/>
    </sheetView>
  </sheetViews>
  <sheetFormatPr defaultColWidth="9.109375" defaultRowHeight="14.4" x14ac:dyDescent="0.3"/>
  <cols>
    <col min="1" max="1" width="9.109375" style="515"/>
    <col min="2" max="2" width="9.109375" style="515" customWidth="1"/>
    <col min="3" max="3" width="32" style="515" customWidth="1"/>
    <col min="4" max="6" width="13.44140625" style="515" bestFit="1" customWidth="1"/>
    <col min="7" max="7" width="11.6640625" style="515" bestFit="1" customWidth="1"/>
    <col min="8" max="8" width="19.88671875" style="515" customWidth="1"/>
    <col min="9" max="9" width="13.88671875" style="515" bestFit="1" customWidth="1"/>
    <col min="10" max="14" width="9.109375" style="515"/>
    <col min="15" max="15" width="32.33203125" style="515" customWidth="1"/>
    <col min="16" max="18" width="15.44140625" style="515" bestFit="1" customWidth="1"/>
    <col min="19" max="19" width="12.88671875" style="515" bestFit="1" customWidth="1"/>
    <col min="20" max="20" width="20.44140625" style="515" customWidth="1"/>
    <col min="21" max="21" width="15.44140625" style="515" bestFit="1" customWidth="1"/>
    <col min="22" max="16384" width="9.109375" style="515"/>
  </cols>
  <sheetData>
    <row r="1" spans="1:21" ht="21.75" customHeight="1" thickBot="1" x14ac:dyDescent="0.35">
      <c r="A1" s="702" t="s">
        <v>344</v>
      </c>
      <c r="B1" s="702"/>
      <c r="C1" s="702"/>
      <c r="D1" s="514"/>
      <c r="E1" s="514"/>
      <c r="F1" s="514"/>
      <c r="G1" s="514"/>
      <c r="H1" s="514"/>
      <c r="I1" s="514"/>
      <c r="J1" s="514"/>
      <c r="K1" s="514"/>
      <c r="L1" s="514"/>
      <c r="M1" s="702" t="s">
        <v>345</v>
      </c>
      <c r="N1" s="702"/>
      <c r="O1" s="702"/>
    </row>
    <row r="2" spans="1:21" ht="28.8" x14ac:dyDescent="0.3">
      <c r="A2" s="703"/>
      <c r="B2" s="704"/>
      <c r="C2" s="705"/>
      <c r="D2" s="591" t="str">
        <f>'Parametre - Agendové IS'!G1</f>
        <v>N/A</v>
      </c>
      <c r="E2" s="591" t="str">
        <f>'Parametre - Agendové IS'!J1</f>
        <v>N/A</v>
      </c>
      <c r="F2" s="591" t="str">
        <f>'Parametre - Agendové IS'!M1</f>
        <v>N/A</v>
      </c>
      <c r="G2" s="592" t="str">
        <f>'Parametre - Agendové IS'!P1</f>
        <v>N/A</v>
      </c>
      <c r="H2" s="594" t="s">
        <v>335</v>
      </c>
      <c r="I2" s="593" t="s">
        <v>107</v>
      </c>
      <c r="M2" s="703"/>
      <c r="N2" s="704"/>
      <c r="O2" s="705"/>
      <c r="P2" s="591" t="str">
        <f>D2</f>
        <v>N/A</v>
      </c>
      <c r="Q2" s="591" t="str">
        <f>E2</f>
        <v>N/A</v>
      </c>
      <c r="R2" s="591" t="str">
        <f>F2</f>
        <v>N/A</v>
      </c>
      <c r="S2" s="592" t="str">
        <f>G2</f>
        <v>N/A</v>
      </c>
      <c r="T2" s="594" t="s">
        <v>335</v>
      </c>
      <c r="U2" s="593" t="s">
        <v>107</v>
      </c>
    </row>
    <row r="3" spans="1:21" x14ac:dyDescent="0.3">
      <c r="A3" s="350" t="s">
        <v>349</v>
      </c>
      <c r="B3" s="351"/>
      <c r="C3" s="352"/>
      <c r="D3" s="353">
        <f>D4+D5+D9+D13+D14</f>
        <v>894893.08164709958</v>
      </c>
      <c r="E3" s="353">
        <f>E4+E5+E9+E13+E14</f>
        <v>0</v>
      </c>
      <c r="F3" s="353">
        <f>F4+F5+F9+F13+F14</f>
        <v>0</v>
      </c>
      <c r="G3" s="354">
        <f>G4+G5+G9+G13+G14</f>
        <v>0</v>
      </c>
      <c r="H3" s="353">
        <f>H5+H9+H13+H14</f>
        <v>0</v>
      </c>
      <c r="I3" s="516">
        <f>SUM(D3:H3)</f>
        <v>894893.08164709958</v>
      </c>
      <c r="M3" s="350" t="s">
        <v>349</v>
      </c>
      <c r="N3" s="351"/>
      <c r="O3" s="352"/>
      <c r="P3" s="353">
        <f>P4+P5+P9+P13+P14</f>
        <v>962763.05327999999</v>
      </c>
      <c r="Q3" s="353">
        <f>Q4+Q5+Q9+Q13+Q14</f>
        <v>0</v>
      </c>
      <c r="R3" s="353">
        <f>R4+R5+R9+R13+R14</f>
        <v>0</v>
      </c>
      <c r="S3" s="354">
        <f>S4+S5+S9+S13+S14</f>
        <v>0</v>
      </c>
      <c r="T3" s="353">
        <f>T5+T9+T13+T14</f>
        <v>0</v>
      </c>
      <c r="U3" s="516">
        <f>SUM(P3:T3)</f>
        <v>962763.05327999999</v>
      </c>
    </row>
    <row r="4" spans="1:21" x14ac:dyDescent="0.3">
      <c r="A4" s="355"/>
      <c r="B4" s="356" t="s">
        <v>70</v>
      </c>
      <c r="C4" s="357"/>
      <c r="D4" s="530">
        <f>'Parametre - Agendové IS'!I107+NPV(Faktory!$D$5,'Parametre - Agendové IS'!I108:I116)</f>
        <v>0</v>
      </c>
      <c r="E4" s="530">
        <f>'Parametre - Agendové IS'!L107+NPV(Faktory!$D$5,'Parametre - Agendové IS'!L108:L116)</f>
        <v>0</v>
      </c>
      <c r="F4" s="530">
        <f>'Parametre - Agendové IS'!O107+NPV(Faktory!$D$5,'Parametre - Agendové IS'!O108:O116)</f>
        <v>0</v>
      </c>
      <c r="G4" s="531">
        <f>'Parametre - Agendové IS'!R107+NPV(Faktory!$D$5,'Parametre - Agendové IS'!R108:R116)</f>
        <v>0</v>
      </c>
      <c r="H4" s="597" t="s">
        <v>212</v>
      </c>
      <c r="I4" s="532">
        <f>SUM(D4:H4)</f>
        <v>0</v>
      </c>
      <c r="M4" s="355"/>
      <c r="N4" s="356" t="s">
        <v>70</v>
      </c>
      <c r="O4" s="357"/>
      <c r="P4" s="530">
        <f>SUM('Parametre - Agendové IS'!I107:I116)</f>
        <v>0</v>
      </c>
      <c r="Q4" s="530">
        <f>SUM('Parametre - Agendové IS'!L107:L116)</f>
        <v>0</v>
      </c>
      <c r="R4" s="530">
        <f>SUM('Parametre - Agendové IS'!O107:O116)</f>
        <v>0</v>
      </c>
      <c r="S4" s="531">
        <f>SUM('Parametre - Agendové IS'!R107:R116)</f>
        <v>0</v>
      </c>
      <c r="T4" s="597" t="s">
        <v>212</v>
      </c>
      <c r="U4" s="532">
        <f>SUM(P4:T4)</f>
        <v>0</v>
      </c>
    </row>
    <row r="5" spans="1:21" x14ac:dyDescent="0.3">
      <c r="A5" s="355"/>
      <c r="B5" s="356" t="s">
        <v>210</v>
      </c>
      <c r="C5" s="357"/>
      <c r="D5" s="530">
        <f>SUM(D6:D8)</f>
        <v>561988.41200000001</v>
      </c>
      <c r="E5" s="530">
        <f>SUM(E6:E8)</f>
        <v>0</v>
      </c>
      <c r="F5" s="530">
        <f>SUM(F6:F8)</f>
        <v>0</v>
      </c>
      <c r="G5" s="531">
        <f>SUM(G6:G8)</f>
        <v>0</v>
      </c>
      <c r="H5" s="530">
        <f>SUM(H6:H8)</f>
        <v>0</v>
      </c>
      <c r="I5" s="532">
        <f>SUM(D5:H5)</f>
        <v>561988.41200000001</v>
      </c>
      <c r="M5" s="355"/>
      <c r="N5" s="356" t="s">
        <v>210</v>
      </c>
      <c r="O5" s="357"/>
      <c r="P5" s="530">
        <f>SUM(P6:P8)</f>
        <v>561988.41200000001</v>
      </c>
      <c r="Q5" s="530">
        <f>SUM(Q6:Q8)</f>
        <v>0</v>
      </c>
      <c r="R5" s="530">
        <f>SUM(R6:R8)</f>
        <v>0</v>
      </c>
      <c r="S5" s="531">
        <f>SUM(S6:S8)</f>
        <v>0</v>
      </c>
      <c r="T5" s="530">
        <f>SUM(T6+T7)</f>
        <v>0</v>
      </c>
      <c r="U5" s="532">
        <f>SUM(P5:T5)</f>
        <v>561988.41200000001</v>
      </c>
    </row>
    <row r="6" spans="1:21" x14ac:dyDescent="0.3">
      <c r="A6" s="358"/>
      <c r="B6" s="359"/>
      <c r="C6" s="360" t="s">
        <v>109</v>
      </c>
      <c r="D6" s="533">
        <f>('TCO TO BE- SW'!F26+NPV(Faktory!$D$5,'TCO TO BE- SW'!F27:F35)+'TCO TO BE- SW'!F36+NPV(Faktory!$D$5,'TCO TO BE- SW'!F37:F45)+'TCO TO BE- SW'!F46+NPV(Faktory!$D$5,'TCO TO BE- SW'!F47:F55))</f>
        <v>151965</v>
      </c>
      <c r="E6" s="533">
        <f>('TCO TO BE- SW'!G26+NPV(Faktory!$D$5,'TCO TO BE- SW'!G27:G35)+'TCO TO BE- SW'!G36+NPV(Faktory!$D$5,'TCO TO BE- SW'!G37:G45)+'TCO TO BE- SW'!G46+NPV(Faktory!$D$5,'TCO TO BE- SW'!G47:G55))</f>
        <v>0</v>
      </c>
      <c r="F6" s="533">
        <f>('TCO TO BE- SW'!H26+NPV(Faktory!$D$5,'TCO TO BE- SW'!H27:H35)+'TCO TO BE- SW'!H36+NPV(Faktory!$D$5,'TCO TO BE- SW'!H37:H45)+'TCO TO BE- SW'!H46+NPV(Faktory!$D$5,'TCO TO BE- SW'!H47:H55))</f>
        <v>0</v>
      </c>
      <c r="G6" s="533">
        <f>('TCO TO BE- SW'!I26+NPV(Faktory!$D$5,'TCO TO BE- SW'!I27:I35)+'TCO TO BE- SW'!I36+NPV(Faktory!$D$5,'TCO TO BE- SW'!I37:I45)+'TCO TO BE- SW'!I46+NPV(Faktory!$D$5,'TCO TO BE- SW'!I47:I55))</f>
        <v>0</v>
      </c>
      <c r="H6" s="533">
        <f>('TCO TO BE- SW'!J26+NPV(Faktory!$D$5,'TCO TO BE- SW'!J27:J35)+'TCO TO BE- SW'!J36+NPV(Faktory!$D$5,'TCO TO BE- SW'!J37:J45)+'TCO TO BE- SW'!J46+NPV(Faktory!$D$5,'TCO TO BE- SW'!J47:J55))</f>
        <v>0</v>
      </c>
      <c r="I6" s="535">
        <f>SUM(D6:H6)</f>
        <v>151965</v>
      </c>
      <c r="M6" s="358"/>
      <c r="N6" s="359"/>
      <c r="O6" s="360" t="s">
        <v>109</v>
      </c>
      <c r="P6" s="533">
        <f>'TCO TO BE- SW'!F25</f>
        <v>151965</v>
      </c>
      <c r="Q6" s="533">
        <f>'TCO TO BE- SW'!G25</f>
        <v>0</v>
      </c>
      <c r="R6" s="533">
        <f>'TCO TO BE- SW'!H25</f>
        <v>0</v>
      </c>
      <c r="S6" s="533">
        <f>'TCO TO BE- SW'!I25</f>
        <v>0</v>
      </c>
      <c r="T6" s="533">
        <f>'TCO TO BE- SW'!J25</f>
        <v>0</v>
      </c>
      <c r="U6" s="535">
        <f>SUM(P6:T6)</f>
        <v>151965</v>
      </c>
    </row>
    <row r="7" spans="1:21" x14ac:dyDescent="0.3">
      <c r="A7" s="358"/>
      <c r="B7" s="359"/>
      <c r="C7" s="360" t="s">
        <v>69</v>
      </c>
      <c r="D7" s="533">
        <f>('TCO TO BE- SW'!F5+NPV(Faktory!$D$5,'TCO TO BE- SW'!F6:F14)+'TCO TO BE- SW'!F15+NPV(Faktory!$D$5,'TCO TO BE- SW'!F16:F24))</f>
        <v>30204</v>
      </c>
      <c r="E7" s="533">
        <f>('TCO TO BE- SW'!G5+NPV(Faktory!$D$5,'TCO TO BE- SW'!G6:G14)+'TCO TO BE- SW'!G15+NPV(Faktory!$D$5,'TCO TO BE- SW'!G16:G24))</f>
        <v>0</v>
      </c>
      <c r="F7" s="533">
        <f>('TCO TO BE- SW'!H5+NPV(Faktory!$D$5,'TCO TO BE- SW'!H6:H14)+'TCO TO BE- SW'!H15+NPV(Faktory!$D$5,'TCO TO BE- SW'!H16:H24))</f>
        <v>0</v>
      </c>
      <c r="G7" s="533">
        <f>('TCO TO BE- SW'!I5+NPV(Faktory!$D$5,'TCO TO BE- SW'!I6:I14)+'TCO TO BE- SW'!I15+NPV(Faktory!$D$5,'TCO TO BE- SW'!I16:I24))</f>
        <v>0</v>
      </c>
      <c r="H7" s="533">
        <f>('TCO TO BE- SW'!J5+NPV(Faktory!$D$5,'TCO TO BE- SW'!J6:J14)+'TCO TO BE- SW'!J15+NPV(Faktory!$D$5,'TCO TO BE- SW'!J16:J24))</f>
        <v>0</v>
      </c>
      <c r="I7" s="535">
        <f>SUM(D7:H7)</f>
        <v>30204</v>
      </c>
      <c r="M7" s="358"/>
      <c r="N7" s="359"/>
      <c r="O7" s="360" t="s">
        <v>69</v>
      </c>
      <c r="P7" s="533">
        <f>'TCO TO BE- SW'!F4</f>
        <v>30204</v>
      </c>
      <c r="Q7" s="533">
        <f>'TCO TO BE- SW'!G4</f>
        <v>0</v>
      </c>
      <c r="R7" s="533">
        <f>'TCO TO BE- SW'!H4</f>
        <v>0</v>
      </c>
      <c r="S7" s="533">
        <f>'TCO TO BE- SW'!I4</f>
        <v>0</v>
      </c>
      <c r="T7" s="533">
        <f>'TCO TO BE- SW'!J4</f>
        <v>0</v>
      </c>
      <c r="U7" s="535">
        <f>SUM(P7:T7)</f>
        <v>30204</v>
      </c>
    </row>
    <row r="8" spans="1:21" x14ac:dyDescent="0.3">
      <c r="A8" s="358"/>
      <c r="B8" s="359"/>
      <c r="C8" s="360" t="s">
        <v>68</v>
      </c>
      <c r="D8" s="533">
        <f>('TCO TO BE - HW'!F4+NPV(Faktory!$D$5,'TCO TO BE - HW'!F5:F13)+'TCO TO BE - HW'!F14+NPV(Faktory!$D$5,'TCO TO BE - HW'!F15:F23)+'TCO TO BE - HW'!F24+NPV(Faktory!$D$5,'TCO TO BE - HW'!F25:F33))</f>
        <v>379819.41199999995</v>
      </c>
      <c r="E8" s="533">
        <f>('TCO TO BE - HW'!G4+NPV(Faktory!$D$5,'TCO TO BE - HW'!G5:G13)+'TCO TO BE - HW'!G14+NPV(Faktory!$D$5,'TCO TO BE - HW'!G15:G23)+'TCO TO BE - HW'!G24+NPV(Faktory!$D$5,'TCO TO BE - HW'!G25:G33))</f>
        <v>0</v>
      </c>
      <c r="F8" s="533">
        <f>('TCO TO BE - HW'!H4+NPV(Faktory!$D$5,'TCO TO BE - HW'!H5:H13)+'TCO TO BE - HW'!H14+NPV(Faktory!$D$5,'TCO TO BE - HW'!H15:H23)+'TCO TO BE - HW'!H24+NPV(Faktory!$D$5,'TCO TO BE - HW'!H25:H33))</f>
        <v>0</v>
      </c>
      <c r="G8" s="533">
        <f>('TCO TO BE - HW'!I4+NPV(Faktory!$D$5,'TCO TO BE - HW'!I5:I13)+'TCO TO BE - HW'!I14+NPV(Faktory!$D$5,'TCO TO BE - HW'!I15:I23)+'TCO TO BE - HW'!I24+NPV(Faktory!$D$5,'TCO TO BE - HW'!I25:I33))</f>
        <v>0</v>
      </c>
      <c r="H8" s="536" t="s">
        <v>212</v>
      </c>
      <c r="I8" s="535">
        <f t="shared" ref="I8:I17" si="0">SUM(D8:G8)</f>
        <v>379819.41199999995</v>
      </c>
      <c r="M8" s="358"/>
      <c r="N8" s="359"/>
      <c r="O8" s="360" t="s">
        <v>68</v>
      </c>
      <c r="P8" s="533">
        <f>'TCO TO BE - HW'!F3</f>
        <v>379819.41199999995</v>
      </c>
      <c r="Q8" s="533">
        <f>'TCO TO BE - HW'!G3</f>
        <v>0</v>
      </c>
      <c r="R8" s="533">
        <f>'TCO TO BE - HW'!H3</f>
        <v>0</v>
      </c>
      <c r="S8" s="533">
        <f>'TCO TO BE - HW'!I3</f>
        <v>0</v>
      </c>
      <c r="T8" s="536" t="s">
        <v>212</v>
      </c>
      <c r="U8" s="535">
        <f t="shared" ref="U8:U23" si="1">SUM(P8:S8)</f>
        <v>379819.41199999995</v>
      </c>
    </row>
    <row r="9" spans="1:21" x14ac:dyDescent="0.3">
      <c r="A9" s="355"/>
      <c r="B9" s="356" t="s">
        <v>211</v>
      </c>
      <c r="C9" s="357"/>
      <c r="D9" s="530">
        <f>SUM(D10:D12)</f>
        <v>296164.66964709957</v>
      </c>
      <c r="E9" s="530">
        <f>SUM(E10:E12)</f>
        <v>0</v>
      </c>
      <c r="F9" s="530">
        <f>SUM(F10:F12)</f>
        <v>0</v>
      </c>
      <c r="G9" s="531">
        <f>SUM(G10:G12)</f>
        <v>0</v>
      </c>
      <c r="H9" s="530">
        <f>SUM(H10:H12)</f>
        <v>0</v>
      </c>
      <c r="I9" s="532">
        <f>SUM(D9:H9)</f>
        <v>296164.66964709957</v>
      </c>
      <c r="M9" s="355"/>
      <c r="N9" s="356" t="s">
        <v>211</v>
      </c>
      <c r="O9" s="357"/>
      <c r="P9" s="530">
        <f>SUM(P10:P12)</f>
        <v>364034.64127999998</v>
      </c>
      <c r="Q9" s="530">
        <f>SUM(Q10:Q12)</f>
        <v>0</v>
      </c>
      <c r="R9" s="530">
        <f>SUM(R10:R12)</f>
        <v>0</v>
      </c>
      <c r="S9" s="531">
        <f>SUM(S10:S12)</f>
        <v>0</v>
      </c>
      <c r="T9" s="530">
        <f>SUM(T10+T11)</f>
        <v>0</v>
      </c>
      <c r="U9" s="532">
        <f>SUM(P9:T9)</f>
        <v>364034.64127999998</v>
      </c>
    </row>
    <row r="10" spans="1:21" x14ac:dyDescent="0.3">
      <c r="A10" s="358"/>
      <c r="B10" s="359"/>
      <c r="C10" s="360" t="s">
        <v>109</v>
      </c>
      <c r="D10" s="533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108014.01209392483</v>
      </c>
      <c r="E10" s="533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0</v>
      </c>
      <c r="F10" s="533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G10" s="533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33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35">
        <f>SUM(D10:H10)</f>
        <v>108014.01209392483</v>
      </c>
      <c r="M10" s="358"/>
      <c r="N10" s="359"/>
      <c r="O10" s="360" t="s">
        <v>109</v>
      </c>
      <c r="P10" s="533">
        <f>'TCO TO BE- SW'!F78</f>
        <v>136768.5</v>
      </c>
      <c r="Q10" s="533">
        <f>'TCO TO BE- SW'!G78</f>
        <v>0</v>
      </c>
      <c r="R10" s="533">
        <f>'TCO TO BE- SW'!H78</f>
        <v>0</v>
      </c>
      <c r="S10" s="533">
        <f>'TCO TO BE- SW'!I78</f>
        <v>0</v>
      </c>
      <c r="T10" s="533">
        <f>'TCO TO BE- SW'!J78</f>
        <v>0</v>
      </c>
      <c r="U10" s="535">
        <f>SUM(P10:T10)</f>
        <v>136768.5</v>
      </c>
    </row>
    <row r="11" spans="1:21" x14ac:dyDescent="0.3">
      <c r="A11" s="358"/>
      <c r="B11" s="359"/>
      <c r="C11" s="360" t="s">
        <v>69</v>
      </c>
      <c r="D11" s="533">
        <f>('TCO TO BE- SW'!F58+NPV(Faktory!$D$5,'TCO TO BE- SW'!F59:F67)+'TCO TO BE- SW'!F68+NPV(Faktory!$D$5,'TCO TO BE- SW'!F69:F77))</f>
        <v>53133.705707784989</v>
      </c>
      <c r="E11" s="533">
        <f>('TCO TO BE- SW'!G58+NPV(Faktory!$D$5,'TCO TO BE- SW'!G59:G67)+'TCO TO BE- SW'!G68+NPV(Faktory!$D$5,'TCO TO BE- SW'!G69:G77))</f>
        <v>0</v>
      </c>
      <c r="F11" s="533">
        <f>('TCO TO BE- SW'!H58+NPV(Faktory!$D$5,'TCO TO BE- SW'!H59:H67)+'TCO TO BE- SW'!H68+NPV(Faktory!$D$5,'TCO TO BE- SW'!H69:H77))</f>
        <v>0</v>
      </c>
      <c r="G11" s="533">
        <f>('TCO TO BE- SW'!I58+NPV(Faktory!$D$5,'TCO TO BE- SW'!I59:I67)+'TCO TO BE- SW'!I68+NPV(Faktory!$D$5,'TCO TO BE- SW'!I69:I77))</f>
        <v>0</v>
      </c>
      <c r="H11" s="533">
        <f>('TCO TO BE- SW'!J58+NPV(Faktory!$D$5,'TCO TO BE- SW'!J59:J67)+'TCO TO BE- SW'!J68+NPV(Faktory!$D$5,'TCO TO BE- SW'!J69:J77))</f>
        <v>0</v>
      </c>
      <c r="I11" s="535">
        <f>SUM(D11:H11)</f>
        <v>53133.705707784989</v>
      </c>
      <c r="M11" s="358"/>
      <c r="N11" s="359"/>
      <c r="O11" s="360" t="s">
        <v>69</v>
      </c>
      <c r="P11" s="533">
        <f>'TCO TO BE- SW'!F57</f>
        <v>60145.600000000013</v>
      </c>
      <c r="Q11" s="533">
        <f>'TCO TO BE- SW'!G57</f>
        <v>0</v>
      </c>
      <c r="R11" s="533">
        <f>'TCO TO BE- SW'!H57</f>
        <v>0</v>
      </c>
      <c r="S11" s="533">
        <f>'TCO TO BE- SW'!I57</f>
        <v>0</v>
      </c>
      <c r="T11" s="533">
        <f>'TCO TO BE- SW'!J57</f>
        <v>0</v>
      </c>
      <c r="U11" s="535">
        <f>SUM(P11:T11)</f>
        <v>60145.600000000013</v>
      </c>
    </row>
    <row r="12" spans="1:21" x14ac:dyDescent="0.3">
      <c r="A12" s="358"/>
      <c r="B12" s="359"/>
      <c r="C12" s="360" t="s">
        <v>68</v>
      </c>
      <c r="D12" s="533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135016.95184538973</v>
      </c>
      <c r="E12" s="533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33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33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36" t="s">
        <v>212</v>
      </c>
      <c r="I12" s="535">
        <f t="shared" si="0"/>
        <v>135016.95184538973</v>
      </c>
      <c r="M12" s="358"/>
      <c r="N12" s="359"/>
      <c r="O12" s="360" t="s">
        <v>68</v>
      </c>
      <c r="P12" s="533">
        <f>'TCO TO BE - HW'!F34</f>
        <v>167120.54127999998</v>
      </c>
      <c r="Q12" s="533">
        <f>'TCO TO BE - HW'!G34</f>
        <v>0</v>
      </c>
      <c r="R12" s="533">
        <f>'TCO TO BE - HW'!H34</f>
        <v>0</v>
      </c>
      <c r="S12" s="533">
        <f>'TCO TO BE - HW'!I34</f>
        <v>0</v>
      </c>
      <c r="T12" s="536" t="s">
        <v>212</v>
      </c>
      <c r="U12" s="535">
        <f t="shared" si="1"/>
        <v>167120.54127999998</v>
      </c>
    </row>
    <row r="13" spans="1:21" x14ac:dyDescent="0.3">
      <c r="A13" s="358"/>
      <c r="B13" s="356" t="s">
        <v>312</v>
      </c>
      <c r="C13" s="357"/>
      <c r="D13" s="600">
        <f>'TCO TO BE- SW'!F130+NPV(0.05,'TCO TO BE- SW'!F131:F139)+'TCO TO BE- SW'!F140+NPV(0.05,'TCO TO BE- SW'!F141:F149)</f>
        <v>36740</v>
      </c>
      <c r="E13" s="600">
        <f>'TCO TO BE- SW'!G130+NPV(0.05,'TCO TO BE- SW'!G131:G139)+'TCO TO BE- SW'!G140+NPV(0.05,'TCO TO BE- SW'!G141:G149)</f>
        <v>0</v>
      </c>
      <c r="F13" s="600">
        <f>'TCO TO BE- SW'!H130+NPV(0.05,'TCO TO BE- SW'!H131:H139)+'TCO TO BE- SW'!H140+NPV(0.05,'TCO TO BE- SW'!H141:H149)</f>
        <v>0</v>
      </c>
      <c r="G13" s="601">
        <f>'TCO TO BE- SW'!I130+NPV(0.05,'TCO TO BE- SW'!I131:I139)+'TCO TO BE- SW'!I140+NPV(0.05,'TCO TO BE- SW'!I141:I149)</f>
        <v>0</v>
      </c>
      <c r="H13" s="600">
        <f>'TCO TO BE- SW'!J130+NPV(0.05,'TCO TO BE- SW'!J131:J139)+'TCO TO BE- SW'!J140+NPV(0.05,'TCO TO BE- SW'!J141:J149)</f>
        <v>0</v>
      </c>
      <c r="I13" s="532">
        <f>SUM(D13:H13)</f>
        <v>36740</v>
      </c>
      <c r="M13" s="358"/>
      <c r="N13" s="356" t="s">
        <v>312</v>
      </c>
      <c r="O13" s="357"/>
      <c r="P13" s="600">
        <f>'TCO TO BE- SW'!F129</f>
        <v>36740</v>
      </c>
      <c r="Q13" s="600">
        <f>'TCO TO BE- SW'!G129</f>
        <v>0</v>
      </c>
      <c r="R13" s="600">
        <f>'TCO TO BE- SW'!H129</f>
        <v>0</v>
      </c>
      <c r="S13" s="601">
        <f>'TCO TO BE- SW'!I129</f>
        <v>0</v>
      </c>
      <c r="T13" s="600">
        <f>'TCO TO BE- SW'!J129</f>
        <v>0</v>
      </c>
      <c r="U13" s="532">
        <f>SUM(P13:T13)</f>
        <v>36740</v>
      </c>
    </row>
    <row r="14" spans="1:21" x14ac:dyDescent="0.3">
      <c r="A14" s="358"/>
      <c r="B14" s="356" t="s">
        <v>336</v>
      </c>
      <c r="C14" s="357"/>
      <c r="D14" s="600">
        <f>'TCO TO BE- SW'!F151+NPV(0.05,'TCO TO BE- SW'!F152:F160)+'TCO TO BE- SW'!F161+NPV(0.05,'TCO TO BE- SW'!F162:F170)</f>
        <v>0</v>
      </c>
      <c r="E14" s="600">
        <f>'TCO TO BE- SW'!G151+NPV(0.05,'TCO TO BE- SW'!G152:G160)+'TCO TO BE- SW'!G161+NPV(0.05,'TCO TO BE- SW'!G162:G170)</f>
        <v>0</v>
      </c>
      <c r="F14" s="600">
        <f>'TCO TO BE- SW'!H151+NPV(0.05,'TCO TO BE- SW'!H152:H160)+'TCO TO BE- SW'!H161+NPV(0.05,'TCO TO BE- SW'!H162:H170)</f>
        <v>0</v>
      </c>
      <c r="G14" s="601">
        <f>'TCO TO BE- SW'!I151+NPV(0.05,'TCO TO BE- SW'!I152:I160)+'TCO TO BE- SW'!I161+NPV(0.05,'TCO TO BE- SW'!I162:I170)</f>
        <v>0</v>
      </c>
      <c r="H14" s="600">
        <f>'TCO TO BE- SW'!J151+NPV(0.05,'TCO TO BE- SW'!J152:J160)+'TCO TO BE- SW'!J161+NPV(0.05,'TCO TO BE- SW'!J162:J170)</f>
        <v>0</v>
      </c>
      <c r="I14" s="532">
        <f>SUM(D14:H14)</f>
        <v>0</v>
      </c>
      <c r="M14" s="358"/>
      <c r="N14" s="356" t="s">
        <v>336</v>
      </c>
      <c r="O14" s="357"/>
      <c r="P14" s="600">
        <f>'TCO TO BE- SW'!F150</f>
        <v>0</v>
      </c>
      <c r="Q14" s="600">
        <f>'TCO TO BE- SW'!G150</f>
        <v>0</v>
      </c>
      <c r="R14" s="600">
        <f>'TCO TO BE- SW'!H150</f>
        <v>0</v>
      </c>
      <c r="S14" s="601">
        <f>'TCO TO BE- SW'!I150</f>
        <v>0</v>
      </c>
      <c r="T14" s="600">
        <f>'TCO TO BE- SW'!J150</f>
        <v>0</v>
      </c>
      <c r="U14" s="532">
        <f>SUM(P14:T14)</f>
        <v>0</v>
      </c>
    </row>
    <row r="15" spans="1:21" x14ac:dyDescent="0.3">
      <c r="A15" s="350" t="s">
        <v>206</v>
      </c>
      <c r="B15" s="351"/>
      <c r="C15" s="352"/>
      <c r="D15" s="527">
        <f>D16+D19</f>
        <v>0</v>
      </c>
      <c r="E15" s="527">
        <f>E16+E19</f>
        <v>0</v>
      </c>
      <c r="F15" s="527">
        <f>F16+F19</f>
        <v>0</v>
      </c>
      <c r="G15" s="528">
        <f>G16+G19</f>
        <v>0</v>
      </c>
      <c r="H15" s="599" t="s">
        <v>212</v>
      </c>
      <c r="I15" s="529">
        <f t="shared" si="0"/>
        <v>0</v>
      </c>
      <c r="M15" s="350" t="s">
        <v>206</v>
      </c>
      <c r="N15" s="351"/>
      <c r="O15" s="352"/>
      <c r="P15" s="353">
        <f>P16+P19</f>
        <v>0</v>
      </c>
      <c r="Q15" s="353">
        <f>Q16+Q19</f>
        <v>0</v>
      </c>
      <c r="R15" s="353">
        <f>R16+R19</f>
        <v>0</v>
      </c>
      <c r="S15" s="354">
        <f>S16+S19</f>
        <v>0</v>
      </c>
      <c r="T15" s="599" t="s">
        <v>212</v>
      </c>
      <c r="U15" s="516">
        <f t="shared" si="1"/>
        <v>0</v>
      </c>
    </row>
    <row r="16" spans="1:21" x14ac:dyDescent="0.3">
      <c r="A16" s="355"/>
      <c r="B16" s="356" t="s">
        <v>17</v>
      </c>
      <c r="C16" s="357"/>
      <c r="D16" s="530">
        <f>D17+D18</f>
        <v>0</v>
      </c>
      <c r="E16" s="530">
        <f>E17+E18</f>
        <v>0</v>
      </c>
      <c r="F16" s="530">
        <f>F17+F18</f>
        <v>0</v>
      </c>
      <c r="G16" s="531">
        <f>G17+G18</f>
        <v>0</v>
      </c>
      <c r="H16" s="597" t="s">
        <v>212</v>
      </c>
      <c r="I16" s="532">
        <f t="shared" si="0"/>
        <v>0</v>
      </c>
      <c r="M16" s="355"/>
      <c r="N16" s="356" t="s">
        <v>17</v>
      </c>
      <c r="O16" s="357"/>
      <c r="P16" s="530">
        <f>P17+P18</f>
        <v>0</v>
      </c>
      <c r="Q16" s="530">
        <f>Q17+Q18</f>
        <v>0</v>
      </c>
      <c r="R16" s="530">
        <f>R17+R18</f>
        <v>0</v>
      </c>
      <c r="S16" s="531">
        <f>S17+S18</f>
        <v>0</v>
      </c>
      <c r="T16" s="597" t="s">
        <v>212</v>
      </c>
      <c r="U16" s="532">
        <f t="shared" si="1"/>
        <v>0</v>
      </c>
    </row>
    <row r="17" spans="1:22" x14ac:dyDescent="0.3">
      <c r="A17" s="358"/>
      <c r="B17" s="359"/>
      <c r="C17" s="360" t="s">
        <v>47</v>
      </c>
      <c r="D17" s="533">
        <f>'Parametre - Agendové IS'!I117+NPV(Faktory!$D$3,'Parametre - Agendové IS'!I118:I126)</f>
        <v>0</v>
      </c>
      <c r="E17" s="533">
        <f>'Parametre - Agendové IS'!L117+NPV(Faktory!$D$3,'Parametre - Agendové IS'!L118:L126)</f>
        <v>0</v>
      </c>
      <c r="F17" s="533">
        <f>'Parametre - Agendové IS'!O117+NPV(Faktory!$D$3,'Parametre - Agendové IS'!O118:O126)</f>
        <v>0</v>
      </c>
      <c r="G17" s="534">
        <f>'Parametre - Agendové IS'!R117+NPV(Faktory!$D$3,'Parametre - Agendové IS'!R118:R126)</f>
        <v>0</v>
      </c>
      <c r="H17" s="536" t="s">
        <v>212</v>
      </c>
      <c r="I17" s="535">
        <f t="shared" si="0"/>
        <v>0</v>
      </c>
      <c r="M17" s="358"/>
      <c r="N17" s="359"/>
      <c r="O17" s="360" t="s">
        <v>47</v>
      </c>
      <c r="P17" s="533">
        <f>SUM('Parametre - Agendové IS'!I117:I126)</f>
        <v>0</v>
      </c>
      <c r="Q17" s="533">
        <f>SUM('Parametre - Agendové IS'!L117:L126)</f>
        <v>0</v>
      </c>
      <c r="R17" s="533">
        <f>SUM('Parametre - Agendové IS'!O117:O126)</f>
        <v>0</v>
      </c>
      <c r="S17" s="534">
        <f>SUM('Parametre - Agendové IS'!R117:R126)</f>
        <v>0</v>
      </c>
      <c r="T17" s="536" t="s">
        <v>212</v>
      </c>
      <c r="U17" s="535">
        <f t="shared" si="1"/>
        <v>0</v>
      </c>
    </row>
    <row r="18" spans="1:22" x14ac:dyDescent="0.3">
      <c r="A18" s="358"/>
      <c r="B18" s="359"/>
      <c r="C18" s="360" t="s">
        <v>48</v>
      </c>
      <c r="D18" s="533"/>
      <c r="E18" s="533"/>
      <c r="F18" s="533"/>
      <c r="G18" s="534"/>
      <c r="H18" s="536" t="s">
        <v>212</v>
      </c>
      <c r="I18" s="535">
        <f>'Prínosy - Agendové IS'!G15</f>
        <v>0</v>
      </c>
      <c r="J18" s="517"/>
      <c r="M18" s="358"/>
      <c r="N18" s="359"/>
      <c r="O18" s="360" t="s">
        <v>48</v>
      </c>
      <c r="P18" s="533"/>
      <c r="Q18" s="533"/>
      <c r="R18" s="533"/>
      <c r="S18" s="534"/>
      <c r="T18" s="536" t="s">
        <v>212</v>
      </c>
      <c r="U18" s="535">
        <f>'Prínosy - Agendové IS'!G14</f>
        <v>0</v>
      </c>
      <c r="V18" s="517"/>
    </row>
    <row r="19" spans="1:22" x14ac:dyDescent="0.3">
      <c r="A19" s="355"/>
      <c r="B19" s="356" t="s">
        <v>18</v>
      </c>
      <c r="C19" s="357"/>
      <c r="D19" s="530">
        <f>D20+D21+D23</f>
        <v>0</v>
      </c>
      <c r="E19" s="530">
        <f>E20+E21+E23</f>
        <v>0</v>
      </c>
      <c r="F19" s="530">
        <f>F20+F21+F23</f>
        <v>0</v>
      </c>
      <c r="G19" s="531">
        <f>G20+G21+G23</f>
        <v>0</v>
      </c>
      <c r="H19" s="597" t="s">
        <v>212</v>
      </c>
      <c r="I19" s="532">
        <f>SUM(D19:G19)</f>
        <v>0</v>
      </c>
      <c r="M19" s="355"/>
      <c r="N19" s="356" t="s">
        <v>18</v>
      </c>
      <c r="O19" s="357"/>
      <c r="P19" s="530">
        <f>P20+P21+P23</f>
        <v>0</v>
      </c>
      <c r="Q19" s="530">
        <f>Q20+Q21+Q23</f>
        <v>0</v>
      </c>
      <c r="R19" s="530">
        <f>R20+R21+R23</f>
        <v>0</v>
      </c>
      <c r="S19" s="531">
        <f>S20+S21+S23</f>
        <v>0</v>
      </c>
      <c r="T19" s="597" t="s">
        <v>212</v>
      </c>
      <c r="U19" s="532">
        <f t="shared" si="1"/>
        <v>0</v>
      </c>
    </row>
    <row r="20" spans="1:22" x14ac:dyDescent="0.3">
      <c r="A20" s="358"/>
      <c r="B20" s="359"/>
      <c r="C20" s="360" t="s">
        <v>208</v>
      </c>
      <c r="D20" s="533">
        <f>'Parametre - Agendové IS'!I97+NPV(Faktory!$D$5,'Parametre - Agendové IS'!I98:I106)</f>
        <v>0</v>
      </c>
      <c r="E20" s="533">
        <f>'Parametre - Agendové IS'!L97+NPV(Faktory!$D$5,'Parametre - Agendové IS'!L98:L106)</f>
        <v>0</v>
      </c>
      <c r="F20" s="533">
        <f>'Parametre - Agendové IS'!O97+NPV(Faktory!$D$5,'Parametre - Agendové IS'!O98:O106)</f>
        <v>0</v>
      </c>
      <c r="G20" s="534">
        <f>'Parametre - Agendové IS'!R97+NPV(Faktory!$D$5,'Parametre - Agendové IS'!R98:R106)</f>
        <v>0</v>
      </c>
      <c r="H20" s="536" t="s">
        <v>212</v>
      </c>
      <c r="I20" s="535">
        <f>SUM(D20:G20)</f>
        <v>0</v>
      </c>
      <c r="M20" s="358"/>
      <c r="N20" s="359"/>
      <c r="O20" s="360" t="s">
        <v>208</v>
      </c>
      <c r="P20" s="533">
        <f>SUM('Parametre - Agendové IS'!I97:I106)</f>
        <v>0</v>
      </c>
      <c r="Q20" s="533">
        <f>SUM('Parametre - Agendové IS'!L97:L106)</f>
        <v>0</v>
      </c>
      <c r="R20" s="533">
        <f>SUM('Parametre - Agendové IS'!O97:O106)</f>
        <v>0</v>
      </c>
      <c r="S20" s="534">
        <f>SUM('Parametre - Agendové IS'!R97:R106)</f>
        <v>0</v>
      </c>
      <c r="T20" s="536" t="s">
        <v>212</v>
      </c>
      <c r="U20" s="535">
        <f t="shared" si="1"/>
        <v>0</v>
      </c>
    </row>
    <row r="21" spans="1:22" x14ac:dyDescent="0.3">
      <c r="A21" s="358"/>
      <c r="B21" s="359"/>
      <c r="C21" s="360" t="s">
        <v>207</v>
      </c>
      <c r="D21" s="533">
        <f>-('Parametre - Agendové IS'!I77+NPV(Faktory!$D$5,'Parametre - Agendové IS'!I78:I86))</f>
        <v>0</v>
      </c>
      <c r="E21" s="533">
        <f>-('Parametre - Agendové IS'!L77+NPV(Faktory!$D$5,'Parametre - Agendové IS'!L78:L86))</f>
        <v>0</v>
      </c>
      <c r="F21" s="533">
        <f>-('Parametre - Agendové IS'!O77+NPV(Faktory!$D$5,'Parametre - Agendové IS'!O78:O86))</f>
        <v>0</v>
      </c>
      <c r="G21" s="534">
        <f>-('Parametre - Agendové IS'!R77+NPV(Faktory!$D$5,'Parametre - Agendové IS'!R78:R86))</f>
        <v>0</v>
      </c>
      <c r="H21" s="536" t="s">
        <v>212</v>
      </c>
      <c r="I21" s="535">
        <f>SUM(D21:G21)</f>
        <v>0</v>
      </c>
      <c r="M21" s="358"/>
      <c r="N21" s="359"/>
      <c r="O21" s="360" t="s">
        <v>207</v>
      </c>
      <c r="P21" s="533">
        <f>-(SUM('Parametre - Agendové IS'!I77:I86))</f>
        <v>0</v>
      </c>
      <c r="Q21" s="533">
        <f>-(SUM('Parametre - Agendové IS'!L77:L86))</f>
        <v>0</v>
      </c>
      <c r="R21" s="533">
        <f>-(SUM('Parametre - Agendové IS'!O77:O86))</f>
        <v>0</v>
      </c>
      <c r="S21" s="534">
        <f>-(SUM('Parametre - Agendové IS'!R77:R86))</f>
        <v>0</v>
      </c>
      <c r="T21" s="536" t="s">
        <v>212</v>
      </c>
      <c r="U21" s="535">
        <f t="shared" si="1"/>
        <v>0</v>
      </c>
    </row>
    <row r="22" spans="1:22" x14ac:dyDescent="0.3">
      <c r="A22" s="358"/>
      <c r="B22" s="359"/>
      <c r="C22" s="360" t="s">
        <v>209</v>
      </c>
      <c r="D22" s="536" t="s">
        <v>212</v>
      </c>
      <c r="E22" s="536" t="s">
        <v>212</v>
      </c>
      <c r="F22" s="536" t="s">
        <v>212</v>
      </c>
      <c r="G22" s="537" t="s">
        <v>212</v>
      </c>
      <c r="H22" s="536" t="s">
        <v>212</v>
      </c>
      <c r="I22" s="538" t="s">
        <v>212</v>
      </c>
      <c r="M22" s="358"/>
      <c r="N22" s="359"/>
      <c r="O22" s="360" t="s">
        <v>209</v>
      </c>
      <c r="P22" s="533">
        <f>SUM('Parametre - Agendové IS'!I87:I96)</f>
        <v>0</v>
      </c>
      <c r="Q22" s="533">
        <f>SUM('Parametre - Agendové IS'!L87:L96)</f>
        <v>0</v>
      </c>
      <c r="R22" s="533">
        <f>SUM('Parametre - Agendové IS'!O87:O96)</f>
        <v>0</v>
      </c>
      <c r="S22" s="534">
        <f>SUM('Parametre - Agendové IS'!R87:R96)</f>
        <v>0</v>
      </c>
      <c r="T22" s="536" t="s">
        <v>212</v>
      </c>
      <c r="U22" s="535">
        <f t="shared" si="1"/>
        <v>0</v>
      </c>
    </row>
    <row r="23" spans="1:22" ht="15" thickBot="1" x14ac:dyDescent="0.35">
      <c r="A23" s="361"/>
      <c r="B23" s="362"/>
      <c r="C23" s="363" t="s">
        <v>39</v>
      </c>
      <c r="D23" s="539">
        <f>'Parametre - Agendové IS'!I127+NPV(Faktory!$D$5,'Parametre - Agendové IS'!I128:I136)</f>
        <v>0</v>
      </c>
      <c r="E23" s="539">
        <f>'Parametre - Agendové IS'!L127+NPV(Faktory!$D$5,'Parametre - Agendové IS'!L128:L136)</f>
        <v>0</v>
      </c>
      <c r="F23" s="539">
        <f>'Parametre - Agendové IS'!O127+NPV(Faktory!$D$5,'Parametre - Agendové IS'!O128:O136)</f>
        <v>0</v>
      </c>
      <c r="G23" s="540">
        <f>'Parametre - Agendové IS'!R127+NPV(Faktory!$D$5,'Parametre - Agendové IS'!R128:R136)</f>
        <v>0</v>
      </c>
      <c r="H23" s="598" t="s">
        <v>212</v>
      </c>
      <c r="I23" s="541">
        <f>SUM(D23:G23)</f>
        <v>0</v>
      </c>
      <c r="M23" s="358"/>
      <c r="N23" s="359"/>
      <c r="O23" s="360" t="s">
        <v>39</v>
      </c>
      <c r="P23" s="533">
        <f>SUM('Parametre - Agendové IS'!I127:I136)</f>
        <v>0</v>
      </c>
      <c r="Q23" s="533">
        <f>SUM('Parametre - Agendové IS'!L127:L136)</f>
        <v>0</v>
      </c>
      <c r="R23" s="533">
        <f>SUM('Parametre - Agendové IS'!O127:O136)</f>
        <v>0</v>
      </c>
      <c r="S23" s="534">
        <f>SUM('Parametre - Agendové IS'!R127:R136)</f>
        <v>0</v>
      </c>
      <c r="T23" s="598" t="s">
        <v>212</v>
      </c>
      <c r="U23" s="542">
        <f t="shared" si="1"/>
        <v>0</v>
      </c>
    </row>
    <row r="24" spans="1:22" x14ac:dyDescent="0.3">
      <c r="A24" s="518"/>
      <c r="B24" s="356" t="s">
        <v>213</v>
      </c>
      <c r="C24" s="357"/>
      <c r="D24" s="595"/>
      <c r="E24" s="596"/>
      <c r="F24" s="596"/>
      <c r="G24" s="596"/>
      <c r="H24" s="602"/>
      <c r="I24" s="603"/>
      <c r="M24" s="518"/>
      <c r="N24" s="356" t="s">
        <v>213</v>
      </c>
      <c r="O24" s="357"/>
      <c r="P24" s="595"/>
      <c r="Q24" s="596"/>
      <c r="R24" s="596"/>
      <c r="S24" s="596"/>
      <c r="T24" s="602"/>
      <c r="U24" s="603"/>
    </row>
    <row r="25" spans="1:22" x14ac:dyDescent="0.3">
      <c r="A25" s="519"/>
      <c r="B25" s="520"/>
      <c r="C25" s="521" t="s">
        <v>217</v>
      </c>
      <c r="D25" s="522"/>
      <c r="E25" s="522"/>
      <c r="F25" s="522"/>
      <c r="G25" s="522"/>
      <c r="H25" s="522"/>
      <c r="I25" s="522"/>
      <c r="M25" s="519"/>
      <c r="N25" s="520"/>
      <c r="O25" s="521" t="s">
        <v>217</v>
      </c>
      <c r="P25" s="522"/>
      <c r="Q25" s="522"/>
      <c r="R25" s="522"/>
      <c r="S25" s="522"/>
      <c r="T25" s="522"/>
      <c r="U25" s="522"/>
    </row>
    <row r="26" spans="1:22" x14ac:dyDescent="0.3">
      <c r="A26" s="519"/>
      <c r="B26" s="520"/>
      <c r="C26" s="523" t="s">
        <v>214</v>
      </c>
      <c r="D26" s="522"/>
      <c r="E26" s="522"/>
      <c r="F26" s="522"/>
      <c r="G26" s="522"/>
      <c r="H26" s="522"/>
      <c r="I26" s="522"/>
      <c r="M26" s="519"/>
      <c r="N26" s="520"/>
      <c r="O26" s="523" t="s">
        <v>214</v>
      </c>
      <c r="P26" s="522"/>
      <c r="Q26" s="522"/>
      <c r="R26" s="522"/>
      <c r="S26" s="522"/>
      <c r="T26" s="522"/>
      <c r="U26" s="522"/>
    </row>
    <row r="27" spans="1:22" x14ac:dyDescent="0.3">
      <c r="A27" s="519"/>
      <c r="B27" s="520"/>
      <c r="C27" s="523" t="s">
        <v>214</v>
      </c>
      <c r="D27" s="522"/>
      <c r="E27" s="522"/>
      <c r="F27" s="522"/>
      <c r="G27" s="522"/>
      <c r="H27" s="522"/>
      <c r="I27" s="522"/>
      <c r="M27" s="519"/>
      <c r="N27" s="520"/>
      <c r="O27" s="523" t="s">
        <v>214</v>
      </c>
      <c r="P27" s="522"/>
      <c r="Q27" s="522"/>
      <c r="R27" s="522"/>
      <c r="S27" s="522"/>
      <c r="T27" s="522"/>
      <c r="U27" s="522"/>
    </row>
    <row r="28" spans="1:22" x14ac:dyDescent="0.3">
      <c r="C28" s="524"/>
      <c r="O28" s="524"/>
    </row>
    <row r="29" spans="1:22" x14ac:dyDescent="0.3">
      <c r="C29" s="524"/>
      <c r="O29" s="524"/>
    </row>
    <row r="30" spans="1:22" x14ac:dyDescent="0.3">
      <c r="C30" s="524"/>
    </row>
    <row r="32" spans="1:22" x14ac:dyDescent="0.3">
      <c r="L32" s="525"/>
      <c r="M32" s="525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Normal="100" zoomScaleSheetLayoutView="100" workbookViewId="0">
      <selection activeCell="J22" sqref="J22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</cols>
  <sheetData>
    <row r="1" spans="1:12" ht="15" thickBot="1" x14ac:dyDescent="0.35">
      <c r="A1" s="9"/>
      <c r="B1" s="708" t="s">
        <v>36</v>
      </c>
      <c r="C1" s="709"/>
      <c r="D1" s="709"/>
      <c r="E1" s="709"/>
      <c r="F1" s="709"/>
      <c r="G1" s="710"/>
      <c r="H1" s="711" t="s">
        <v>16</v>
      </c>
      <c r="I1" s="712"/>
      <c r="J1" s="712"/>
      <c r="K1" s="712"/>
      <c r="L1" s="713"/>
    </row>
    <row r="2" spans="1:12" ht="28.8" x14ac:dyDescent="0.3">
      <c r="A2" s="10"/>
      <c r="B2" s="711" t="s">
        <v>347</v>
      </c>
      <c r="C2" s="712"/>
      <c r="D2" s="713"/>
      <c r="E2" s="711" t="s">
        <v>348</v>
      </c>
      <c r="F2" s="712"/>
      <c r="G2" s="713"/>
      <c r="H2" s="55" t="s">
        <v>19</v>
      </c>
      <c r="I2" s="50" t="s">
        <v>20</v>
      </c>
      <c r="J2" s="12" t="s">
        <v>21</v>
      </c>
      <c r="K2" s="714" t="s">
        <v>22</v>
      </c>
      <c r="L2" s="715"/>
    </row>
    <row r="3" spans="1:12" ht="15" thickBot="1" x14ac:dyDescent="0.35">
      <c r="A3" s="11" t="s">
        <v>23</v>
      </c>
      <c r="B3" s="14" t="s">
        <v>220</v>
      </c>
      <c r="C3" s="15" t="s">
        <v>160</v>
      </c>
      <c r="D3" s="16" t="s">
        <v>24</v>
      </c>
      <c r="E3" s="14" t="s">
        <v>220</v>
      </c>
      <c r="F3" s="15" t="s">
        <v>160</v>
      </c>
      <c r="G3" s="16" t="s">
        <v>24</v>
      </c>
      <c r="H3" s="56"/>
      <c r="I3" s="51"/>
      <c r="J3" s="13"/>
      <c r="K3" s="706"/>
      <c r="L3" s="707"/>
    </row>
    <row r="4" spans="1:12" x14ac:dyDescent="0.3">
      <c r="A4" s="49" t="s">
        <v>25</v>
      </c>
      <c r="B4" s="27">
        <f>'Prínosy - Agendové IS'!Q4-'Výdavky - Agendové IS'!T4</f>
        <v>-16238</v>
      </c>
      <c r="C4" s="26">
        <f>'Prínosy - Agendové IS'!R4-'Výdavky - Agendové IS'!U4</f>
        <v>-614966.41200000001</v>
      </c>
      <c r="D4" s="34">
        <f>C4-B4</f>
        <v>-598728.41200000001</v>
      </c>
      <c r="E4" s="27">
        <f>'Prínosy - Agendové IS'!T4-('Výdavky - Agendové IS'!T4/1.2)</f>
        <v>-13531.666666666668</v>
      </c>
      <c r="F4" s="27">
        <f>'Prínosy - Agendové IS'!U4-('Výdavky - Agendové IS'!U4/1.2)</f>
        <v>-512472.01</v>
      </c>
      <c r="G4" s="34">
        <f t="shared" ref="G4:G13" si="0">F4-E4</f>
        <v>-498940.34333333332</v>
      </c>
      <c r="H4" s="57">
        <v>0</v>
      </c>
      <c r="I4" s="52">
        <f>D4*(1/(1+Faktory!$D$3)^H4)</f>
        <v>-598728.41200000001</v>
      </c>
      <c r="J4" s="59">
        <f>G4*(1/(1+Faktory!$D$5)^H4)</f>
        <v>-498940.34333333332</v>
      </c>
      <c r="K4" s="58">
        <f>J4</f>
        <v>-498940.34333333332</v>
      </c>
      <c r="L4" s="31" t="str">
        <f>IF(K4&gt;0,"Rok návratu investície","&lt;")</f>
        <v>&lt;</v>
      </c>
    </row>
    <row r="5" spans="1:12" x14ac:dyDescent="0.3">
      <c r="A5" s="33" t="s">
        <v>26</v>
      </c>
      <c r="B5" s="27">
        <f>'Prínosy - Agendové IS'!Q5-'Výdavky - Agendové IS'!T5</f>
        <v>-9024</v>
      </c>
      <c r="C5" s="26">
        <f>'Prínosy - Agendové IS'!R5-'Výdavky - Agendové IS'!U5</f>
        <v>-27240.9</v>
      </c>
      <c r="D5" s="29">
        <f t="shared" ref="D5:D13" si="1">C5-B5</f>
        <v>-18216.900000000001</v>
      </c>
      <c r="E5" s="27">
        <f>'Prínosy - Agendové IS'!T5-('Výdavky - Agendové IS'!T5/1.2)</f>
        <v>-7520</v>
      </c>
      <c r="F5" s="27">
        <f>'Prínosy - Agendové IS'!U5-('Výdavky - Agendové IS'!U5/1.2)</f>
        <v>-22700.750000000004</v>
      </c>
      <c r="G5" s="29">
        <f t="shared" si="0"/>
        <v>-15180.750000000004</v>
      </c>
      <c r="H5" s="57">
        <v>1</v>
      </c>
      <c r="I5" s="53">
        <f>D5*(1/(1+Faktory!$D$3)^H5)</f>
        <v>-17516.25</v>
      </c>
      <c r="J5" s="60">
        <f>G5*(1/(1+Faktory!$D$5)^H5)</f>
        <v>-14457.857142857145</v>
      </c>
      <c r="K5" s="58">
        <f>J5+K4</f>
        <v>-513398.20047619048</v>
      </c>
      <c r="L5" s="31" t="str">
        <f>IF(L4="&lt;",IF(K5&gt;0,"Rok návratu investície","&lt;"),"&gt;")</f>
        <v>&lt;</v>
      </c>
    </row>
    <row r="6" spans="1:12" x14ac:dyDescent="0.3">
      <c r="A6" s="33" t="s">
        <v>27</v>
      </c>
      <c r="B6" s="27">
        <f>'Prínosy - Agendové IS'!Q6-'Výdavky - Agendové IS'!T6</f>
        <v>-4200</v>
      </c>
      <c r="C6" s="26">
        <f>'Prínosy - Agendové IS'!R6-'Výdavky - Agendové IS'!U6</f>
        <v>-43306.967659999995</v>
      </c>
      <c r="D6" s="29">
        <f t="shared" si="1"/>
        <v>-39106.967659999995</v>
      </c>
      <c r="E6" s="27">
        <f>'Prínosy - Agendové IS'!T6-('Výdavky - Agendové IS'!T6/1.2)</f>
        <v>-3500</v>
      </c>
      <c r="F6" s="27">
        <f>'Prínosy - Agendové IS'!U6-('Výdavky - Agendové IS'!U6/1.2)</f>
        <v>-36089.139716666665</v>
      </c>
      <c r="G6" s="29">
        <f t="shared" si="0"/>
        <v>-32589.139716666665</v>
      </c>
      <c r="H6" s="57">
        <v>2</v>
      </c>
      <c r="I6" s="53">
        <f>D6*(1/(1+Faktory!$D$3)^H6)</f>
        <v>-36156.589922337269</v>
      </c>
      <c r="J6" s="60">
        <f>G6*(1/(1+Faktory!$D$5)^H6)</f>
        <v>-29559.310400604681</v>
      </c>
      <c r="K6" s="58">
        <f t="shared" ref="K6:K13" si="2">J6+K5</f>
        <v>-542957.51087679516</v>
      </c>
      <c r="L6" s="31" t="str">
        <f t="shared" ref="L6:L13" si="3">IF(L5="&lt;",IF(K6&gt;0,"Rok návratu investície","&lt;"),"&gt;")</f>
        <v>&lt;</v>
      </c>
    </row>
    <row r="7" spans="1:12" x14ac:dyDescent="0.3">
      <c r="A7" s="33" t="s">
        <v>28</v>
      </c>
      <c r="B7" s="27">
        <f>'Prínosy - Agendové IS'!Q7-'Výdavky - Agendové IS'!T7</f>
        <v>-3500</v>
      </c>
      <c r="C7" s="26">
        <f>'Prínosy - Agendové IS'!R7-'Výdavky - Agendové IS'!U7</f>
        <v>-42606.967659999995</v>
      </c>
      <c r="D7" s="29">
        <f t="shared" si="1"/>
        <v>-39106.967659999995</v>
      </c>
      <c r="E7" s="27">
        <f>'Prínosy - Agendové IS'!T7-('Výdavky - Agendové IS'!T7/1.2)</f>
        <v>-2916.666666666667</v>
      </c>
      <c r="F7" s="27">
        <f>'Prínosy - Agendové IS'!U7-('Výdavky - Agendové IS'!U7/1.2)</f>
        <v>-35505.806383333329</v>
      </c>
      <c r="G7" s="29">
        <f t="shared" si="0"/>
        <v>-32589.139716666661</v>
      </c>
      <c r="H7" s="57">
        <v>3</v>
      </c>
      <c r="I7" s="53">
        <f>D7*(1/(1+Faktory!$D$3)^H7)</f>
        <v>-34765.951848401222</v>
      </c>
      <c r="J7" s="60">
        <f>G7*(1/(1+Faktory!$D$5)^H7)</f>
        <v>-28151.724191052075</v>
      </c>
      <c r="K7" s="58">
        <f t="shared" si="2"/>
        <v>-571109.23506784718</v>
      </c>
      <c r="L7" s="31" t="str">
        <f t="shared" si="3"/>
        <v>&lt;</v>
      </c>
    </row>
    <row r="8" spans="1:12" x14ac:dyDescent="0.3">
      <c r="A8" s="33" t="s">
        <v>29</v>
      </c>
      <c r="B8" s="27">
        <f>'Prínosy - Agendové IS'!Q8-'Výdavky - Agendové IS'!T8</f>
        <v>0</v>
      </c>
      <c r="C8" s="26">
        <f>'Prínosy - Agendové IS'!R8-'Výdavky - Agendové IS'!U8</f>
        <v>-39106.967659999995</v>
      </c>
      <c r="D8" s="29">
        <f t="shared" si="1"/>
        <v>-39106.967659999995</v>
      </c>
      <c r="E8" s="27">
        <f>'Prínosy - Agendové IS'!T8-('Výdavky - Agendové IS'!T8/1.2)</f>
        <v>0</v>
      </c>
      <c r="F8" s="27">
        <f>'Prínosy - Agendové IS'!U8-('Výdavky - Agendové IS'!U8/1.2)</f>
        <v>-32589.139716666665</v>
      </c>
      <c r="G8" s="29">
        <f t="shared" si="0"/>
        <v>-32589.139716666665</v>
      </c>
      <c r="H8" s="57">
        <v>4</v>
      </c>
      <c r="I8" s="53">
        <f>D8*(1/(1+Faktory!$D$3)^H8)</f>
        <v>-33428.79985423194</v>
      </c>
      <c r="J8" s="60">
        <f>G8*(1/(1+Faktory!$D$5)^H8)</f>
        <v>-26811.165896240076</v>
      </c>
      <c r="K8" s="58">
        <f t="shared" si="2"/>
        <v>-597920.40096408722</v>
      </c>
      <c r="L8" s="31" t="str">
        <f t="shared" si="3"/>
        <v>&lt;</v>
      </c>
    </row>
    <row r="9" spans="1:12" x14ac:dyDescent="0.3">
      <c r="A9" s="33" t="s">
        <v>30</v>
      </c>
      <c r="B9" s="27">
        <f>'Prínosy - Agendové IS'!Q9-'Výdavky - Agendové IS'!T9</f>
        <v>0</v>
      </c>
      <c r="C9" s="26">
        <f>'Prínosy - Agendové IS'!R9-'Výdavky - Agendové IS'!U9</f>
        <v>-39106.967659999995</v>
      </c>
      <c r="D9" s="29">
        <f t="shared" si="1"/>
        <v>-39106.967659999995</v>
      </c>
      <c r="E9" s="27">
        <f>'Prínosy - Agendové IS'!T9-('Výdavky - Agendové IS'!T9/1.2)</f>
        <v>0</v>
      </c>
      <c r="F9" s="27">
        <f>'Prínosy - Agendové IS'!U9-('Výdavky - Agendové IS'!U9/1.2)</f>
        <v>-32589.139716666665</v>
      </c>
      <c r="G9" s="29">
        <f t="shared" si="0"/>
        <v>-32589.139716666665</v>
      </c>
      <c r="H9" s="57">
        <v>5</v>
      </c>
      <c r="I9" s="53">
        <f>D9*(1/(1+Faktory!$D$3)^H9)</f>
        <v>-32143.076782915323</v>
      </c>
      <c r="J9" s="60">
        <f>G9*(1/(1+Faktory!$D$5)^H9)</f>
        <v>-25534.443710704832</v>
      </c>
      <c r="K9" s="58">
        <f t="shared" si="2"/>
        <v>-623454.84467479202</v>
      </c>
      <c r="L9" s="31" t="str">
        <f t="shared" si="3"/>
        <v>&lt;</v>
      </c>
    </row>
    <row r="10" spans="1:12" x14ac:dyDescent="0.3">
      <c r="A10" s="33" t="s">
        <v>31</v>
      </c>
      <c r="B10" s="27">
        <f>'Prínosy - Agendové IS'!Q10-'Výdavky - Agendové IS'!T10</f>
        <v>0</v>
      </c>
      <c r="C10" s="26">
        <f>'Prínosy - Agendové IS'!R10-'Výdavky - Agendové IS'!U10</f>
        <v>-39106.967659999995</v>
      </c>
      <c r="D10" s="29">
        <f t="shared" si="1"/>
        <v>-39106.967659999995</v>
      </c>
      <c r="E10" s="27">
        <f>'Prínosy - Agendové IS'!T10-('Výdavky - Agendové IS'!T10/1.2)</f>
        <v>0</v>
      </c>
      <c r="F10" s="27">
        <f>'Prínosy - Agendové IS'!U10-('Výdavky - Agendové IS'!U10/1.2)</f>
        <v>-32589.139716666665</v>
      </c>
      <c r="G10" s="29">
        <f t="shared" si="0"/>
        <v>-32589.139716666665</v>
      </c>
      <c r="H10" s="57">
        <v>6</v>
      </c>
      <c r="I10" s="53">
        <f>D10*(1/(1+Faktory!$D$3)^H10)</f>
        <v>-30906.804598957042</v>
      </c>
      <c r="J10" s="60">
        <f>G10*(1/(1+Faktory!$D$5)^H10)</f>
        <v>-24318.517819718891</v>
      </c>
      <c r="K10" s="58">
        <f t="shared" si="2"/>
        <v>-647773.36249451095</v>
      </c>
      <c r="L10" s="31" t="str">
        <f t="shared" si="3"/>
        <v>&lt;</v>
      </c>
    </row>
    <row r="11" spans="1:12" x14ac:dyDescent="0.3">
      <c r="A11" s="33" t="s">
        <v>32</v>
      </c>
      <c r="B11" s="27">
        <f>'Prínosy - Agendové IS'!Q11-'Výdavky - Agendové IS'!T11</f>
        <v>0</v>
      </c>
      <c r="C11" s="26">
        <f>'Prínosy - Agendové IS'!R11-'Výdavky - Agendové IS'!U11</f>
        <v>-39106.967659999995</v>
      </c>
      <c r="D11" s="29">
        <f t="shared" si="1"/>
        <v>-39106.967659999995</v>
      </c>
      <c r="E11" s="27">
        <f>'Prínosy - Agendové IS'!T11-('Výdavky - Agendové IS'!T11/1.2)</f>
        <v>0</v>
      </c>
      <c r="F11" s="27">
        <f>'Prínosy - Agendové IS'!U11-('Výdavky - Agendové IS'!U11/1.2)</f>
        <v>-32589.139716666665</v>
      </c>
      <c r="G11" s="29">
        <f t="shared" si="0"/>
        <v>-32589.139716666665</v>
      </c>
      <c r="H11" s="57">
        <v>7</v>
      </c>
      <c r="I11" s="53">
        <f>D11*(1/(1+Faktory!$D$3)^H11)</f>
        <v>-29718.081345151008</v>
      </c>
      <c r="J11" s="60">
        <f>G11*(1/(1+Faktory!$D$5)^H11)</f>
        <v>-23160.493161637034</v>
      </c>
      <c r="K11" s="58">
        <f t="shared" si="2"/>
        <v>-670933.85565614793</v>
      </c>
      <c r="L11" s="31" t="str">
        <f t="shared" si="3"/>
        <v>&lt;</v>
      </c>
    </row>
    <row r="12" spans="1:12" x14ac:dyDescent="0.3">
      <c r="A12" s="33" t="s">
        <v>33</v>
      </c>
      <c r="B12" s="27">
        <f>'Prínosy - Agendové IS'!Q12-'Výdavky - Agendové IS'!T12</f>
        <v>0</v>
      </c>
      <c r="C12" s="26">
        <f>'Prínosy - Agendové IS'!R12-'Výdavky - Agendové IS'!U12</f>
        <v>-39106.967659999995</v>
      </c>
      <c r="D12" s="29">
        <f t="shared" si="1"/>
        <v>-39106.967659999995</v>
      </c>
      <c r="E12" s="27">
        <f>'Prínosy - Agendové IS'!T12-('Výdavky - Agendové IS'!T12/1.2)</f>
        <v>0</v>
      </c>
      <c r="F12" s="27">
        <f>'Prínosy - Agendové IS'!U12-('Výdavky - Agendové IS'!U12/1.2)</f>
        <v>-32589.139716666665</v>
      </c>
      <c r="G12" s="29">
        <f t="shared" si="0"/>
        <v>-32589.139716666665</v>
      </c>
      <c r="H12" s="57">
        <v>8</v>
      </c>
      <c r="I12" s="53">
        <f>D12*(1/(1+Faktory!$D$3)^H12)</f>
        <v>-28575.078216491347</v>
      </c>
      <c r="J12" s="60">
        <f>G12*(1/(1+Faktory!$D$5)^H12)</f>
        <v>-22057.612534892418</v>
      </c>
      <c r="K12" s="58">
        <f t="shared" si="2"/>
        <v>-692991.46819104033</v>
      </c>
      <c r="L12" s="31" t="str">
        <f t="shared" si="3"/>
        <v>&lt;</v>
      </c>
    </row>
    <row r="13" spans="1:12" ht="15" thickBot="1" x14ac:dyDescent="0.35">
      <c r="A13" s="33" t="s">
        <v>34</v>
      </c>
      <c r="B13" s="48">
        <f>'Prínosy - Agendové IS'!Q13-'Výdavky - Agendové IS'!T13</f>
        <v>0</v>
      </c>
      <c r="C13" s="44">
        <f>'Prínosy - Agendové IS'!R13-'Výdavky - Agendové IS'!U13</f>
        <v>-39106.967659999995</v>
      </c>
      <c r="D13" s="35">
        <f t="shared" si="1"/>
        <v>-39106.967659999995</v>
      </c>
      <c r="E13" s="27">
        <f>'Prínosy - Agendové IS'!T13-('Výdavky - Agendové IS'!T13/1.2)</f>
        <v>0</v>
      </c>
      <c r="F13" s="27">
        <f>'Prínosy - Agendové IS'!U13-('Výdavky - Agendové IS'!U13/1.2)</f>
        <v>-32589.139716666665</v>
      </c>
      <c r="G13" s="35">
        <f t="shared" si="0"/>
        <v>-32589.139716666665</v>
      </c>
      <c r="H13" s="57">
        <v>9</v>
      </c>
      <c r="I13" s="54">
        <f>D13*(1/(1+Faktory!$D$3)^H13)</f>
        <v>-27476.036746626291</v>
      </c>
      <c r="J13" s="61">
        <f>G13*(1/(1+Faktory!$D$5)^H13)</f>
        <v>-21007.25003323087</v>
      </c>
      <c r="K13" s="58">
        <f t="shared" si="2"/>
        <v>-713998.7182242712</v>
      </c>
      <c r="L13" s="31" t="str">
        <f t="shared" si="3"/>
        <v>&lt;</v>
      </c>
    </row>
    <row r="14" spans="1:12" ht="15" thickBot="1" x14ac:dyDescent="0.35">
      <c r="A14" s="63" t="s">
        <v>35</v>
      </c>
      <c r="B14" s="45">
        <f t="shared" ref="B14:G14" si="4">SUM(B4:B13)</f>
        <v>-32962</v>
      </c>
      <c r="C14" s="46">
        <f t="shared" si="4"/>
        <v>-962763.05327999976</v>
      </c>
      <c r="D14" s="46">
        <f t="shared" si="4"/>
        <v>-929801.05327999976</v>
      </c>
      <c r="E14" s="46">
        <f t="shared" si="4"/>
        <v>-27468.333333333336</v>
      </c>
      <c r="F14" s="46">
        <f t="shared" si="4"/>
        <v>-802302.5443999999</v>
      </c>
      <c r="G14" s="47">
        <f t="shared" si="4"/>
        <v>-774834.21106666664</v>
      </c>
      <c r="H14" s="64" t="s">
        <v>35</v>
      </c>
      <c r="I14" s="190">
        <f>SUM(I4:I13)</f>
        <v>-869415.0813151116</v>
      </c>
      <c r="J14" s="191">
        <f>SUM(J4:J13)</f>
        <v>-713998.7182242712</v>
      </c>
      <c r="K14" s="7"/>
      <c r="L14" s="7"/>
    </row>
    <row r="16" spans="1:12" ht="15" thickBot="1" x14ac:dyDescent="0.35">
      <c r="H16" s="108" t="s">
        <v>173</v>
      </c>
      <c r="J16" s="201" t="s">
        <v>162</v>
      </c>
      <c r="K16" s="201" t="s">
        <v>171</v>
      </c>
    </row>
    <row r="17" spans="5:11" s="147" customFormat="1" ht="15" thickBot="1" x14ac:dyDescent="0.3">
      <c r="H17" s="195" t="s">
        <v>122</v>
      </c>
      <c r="I17" s="197" t="s">
        <v>168</v>
      </c>
      <c r="J17" s="198">
        <f>'Prínosy - Agendové IS'!V15/('Výdavky - Agendové IS'!V15/1.2)</f>
        <v>0</v>
      </c>
      <c r="K17" s="202">
        <v>1</v>
      </c>
    </row>
    <row r="18" spans="5:11" s="147" customFormat="1" ht="21" thickBot="1" x14ac:dyDescent="0.3">
      <c r="H18" s="196" t="s">
        <v>165</v>
      </c>
      <c r="I18" s="197" t="s">
        <v>169</v>
      </c>
      <c r="J18" s="199" t="s">
        <v>343</v>
      </c>
      <c r="K18" s="203" t="s">
        <v>172</v>
      </c>
    </row>
    <row r="19" spans="5:11" s="147" customFormat="1" ht="21" thickBot="1" x14ac:dyDescent="0.3">
      <c r="E19" s="192"/>
      <c r="H19" s="196" t="s">
        <v>166</v>
      </c>
      <c r="I19" s="197" t="s">
        <v>170</v>
      </c>
      <c r="J19" s="199" t="e">
        <f>IRR($G$4:$G$13,0.01)</f>
        <v>#NUM!</v>
      </c>
      <c r="K19" s="203">
        <v>0.05</v>
      </c>
    </row>
    <row r="20" spans="5:11" ht="15" thickBot="1" x14ac:dyDescent="0.35">
      <c r="H20" s="193"/>
      <c r="I20" s="194"/>
      <c r="J20" s="193"/>
      <c r="K20" s="204"/>
    </row>
    <row r="21" spans="5:11" s="147" customFormat="1" ht="21" thickBot="1" x14ac:dyDescent="0.3">
      <c r="H21" s="196" t="s">
        <v>167</v>
      </c>
      <c r="I21" s="197" t="s">
        <v>351</v>
      </c>
      <c r="J21" s="200">
        <f>I14</f>
        <v>-869415.0813151116</v>
      </c>
      <c r="K21" s="205" t="s">
        <v>172</v>
      </c>
    </row>
    <row r="22" spans="5:11" s="147" customFormat="1" ht="21" thickBot="1" x14ac:dyDescent="0.3">
      <c r="H22" s="196" t="s">
        <v>73</v>
      </c>
      <c r="I22" s="197" t="s">
        <v>350</v>
      </c>
      <c r="J22" s="200">
        <f>J14</f>
        <v>-713998.7182242712</v>
      </c>
      <c r="K22" s="205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8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topLeftCell="A13" zoomScale="60" zoomScaleNormal="80" workbookViewId="0"/>
  </sheetViews>
  <sheetFormatPr defaultColWidth="8.88671875" defaultRowHeight="14.4" x14ac:dyDescent="0.3"/>
  <cols>
    <col min="1" max="1" width="7.88671875" style="62" customWidth="1"/>
    <col min="2" max="2" width="12.6640625" style="62" customWidth="1"/>
    <col min="3" max="3" width="14" style="62" customWidth="1"/>
    <col min="4" max="4" width="9.44140625" style="62" customWidth="1"/>
    <col min="5" max="5" width="11.88671875" style="62" customWidth="1"/>
    <col min="6" max="6" width="11.6640625" style="62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233" t="s">
        <v>122</v>
      </c>
      <c r="B2" s="234">
        <f>'CBA - Agendové IS'!J17</f>
        <v>0</v>
      </c>
    </row>
    <row r="4" spans="1:18" x14ac:dyDescent="0.3">
      <c r="A4" s="224"/>
    </row>
    <row r="5" spans="1:18" ht="30" customHeight="1" x14ac:dyDescent="0.3">
      <c r="A5" s="224"/>
      <c r="B5" s="724" t="s">
        <v>192</v>
      </c>
      <c r="C5" s="725"/>
      <c r="D5" s="242"/>
      <c r="E5" s="724" t="s">
        <v>193</v>
      </c>
      <c r="F5" s="725"/>
      <c r="H5" s="722" t="s">
        <v>188</v>
      </c>
      <c r="I5" s="723"/>
      <c r="J5" s="62"/>
      <c r="K5" s="724" t="s">
        <v>191</v>
      </c>
      <c r="L5" s="725"/>
      <c r="N5" s="722" t="s">
        <v>189</v>
      </c>
      <c r="O5" s="723"/>
      <c r="Q5" s="722" t="s">
        <v>190</v>
      </c>
      <c r="R5" s="723"/>
    </row>
    <row r="6" spans="1:18" x14ac:dyDescent="0.3">
      <c r="A6" s="224"/>
      <c r="B6" s="237" t="s">
        <v>12</v>
      </c>
      <c r="C6" s="236" t="s">
        <v>122</v>
      </c>
      <c r="D6" s="243"/>
      <c r="E6" s="237" t="s">
        <v>12</v>
      </c>
      <c r="F6" s="236" t="s">
        <v>122</v>
      </c>
      <c r="H6" s="237" t="s">
        <v>12</v>
      </c>
      <c r="I6" s="236" t="s">
        <v>122</v>
      </c>
      <c r="J6" s="62"/>
      <c r="K6" s="237" t="s">
        <v>12</v>
      </c>
      <c r="L6" s="236" t="s">
        <v>122</v>
      </c>
      <c r="N6" s="238" t="s">
        <v>12</v>
      </c>
      <c r="O6" s="239" t="s">
        <v>122</v>
      </c>
      <c r="Q6" s="238" t="s">
        <v>12</v>
      </c>
      <c r="R6" s="239" t="s">
        <v>122</v>
      </c>
    </row>
    <row r="7" spans="1:18" ht="15" customHeight="1" x14ac:dyDescent="0.3">
      <c r="A7" s="224"/>
      <c r="B7" s="229">
        <v>0</v>
      </c>
      <c r="C7" s="220">
        <f>B2</f>
        <v>0</v>
      </c>
      <c r="D7" s="240"/>
      <c r="E7" s="229">
        <v>0</v>
      </c>
      <c r="F7" s="220">
        <f>B2</f>
        <v>0</v>
      </c>
      <c r="H7" s="229">
        <v>0</v>
      </c>
      <c r="I7" s="220">
        <f>B2</f>
        <v>0</v>
      </c>
      <c r="J7" s="62"/>
      <c r="K7" s="229">
        <v>0</v>
      </c>
      <c r="L7" s="220">
        <f>B2</f>
        <v>0</v>
      </c>
      <c r="N7" s="231">
        <v>0</v>
      </c>
      <c r="O7" s="222">
        <f>B2</f>
        <v>0</v>
      </c>
      <c r="Q7" s="231">
        <v>0</v>
      </c>
      <c r="R7" s="222">
        <f>B2</f>
        <v>0</v>
      </c>
    </row>
    <row r="8" spans="1:18" x14ac:dyDescent="0.3">
      <c r="A8" s="224"/>
      <c r="B8" s="229">
        <v>0.1</v>
      </c>
      <c r="C8" s="225">
        <f t="dataTable" ref="C8:C17" dt2D="0" dtr="0" r1="B7" ca="1"/>
        <v>0</v>
      </c>
      <c r="D8" s="241"/>
      <c r="E8" s="229">
        <v>0.1</v>
      </c>
      <c r="F8" s="225">
        <f t="dataTable" ref="F8:F17" dt2D="0" dtr="0" r1="E7" ca="1"/>
        <v>0</v>
      </c>
      <c r="H8" s="229">
        <v>-0.1</v>
      </c>
      <c r="I8" s="225">
        <f t="dataTable" ref="I8:I17" dt2D="0" dtr="0" r1="H7"/>
        <v>0</v>
      </c>
      <c r="J8" s="62"/>
      <c r="K8" s="229">
        <v>-0.1</v>
      </c>
      <c r="L8" s="225">
        <f t="dataTable" ref="L8:L17" dt2D="0" dtr="0" r1="K7" ca="1"/>
        <v>0</v>
      </c>
      <c r="N8" s="231">
        <v>-0.1</v>
      </c>
      <c r="O8" s="227">
        <f t="dataTable" ref="O8:O17" dt2D="0" dtr="0" r1="N7" ca="1"/>
        <v>0</v>
      </c>
      <c r="Q8" s="231">
        <v>-0.1</v>
      </c>
      <c r="R8" s="227">
        <f t="dataTable" ref="R8:R17" dt2D="0" dtr="0" r1="Q7" ca="1"/>
        <v>0</v>
      </c>
    </row>
    <row r="9" spans="1:18" x14ac:dyDescent="0.3">
      <c r="A9" s="223"/>
      <c r="B9" s="229">
        <v>0.2</v>
      </c>
      <c r="C9" s="225">
        <v>0</v>
      </c>
      <c r="D9" s="241"/>
      <c r="E9" s="229">
        <v>0.2</v>
      </c>
      <c r="F9" s="225">
        <v>0</v>
      </c>
      <c r="H9" s="229">
        <v>-0.2</v>
      </c>
      <c r="I9" s="225">
        <v>0</v>
      </c>
      <c r="J9" s="62"/>
      <c r="K9" s="229">
        <v>-0.2</v>
      </c>
      <c r="L9" s="225">
        <v>0</v>
      </c>
      <c r="N9" s="231">
        <v>-0.2</v>
      </c>
      <c r="O9" s="227">
        <v>0</v>
      </c>
      <c r="Q9" s="231">
        <v>-0.2</v>
      </c>
      <c r="R9" s="227">
        <v>0</v>
      </c>
    </row>
    <row r="10" spans="1:18" x14ac:dyDescent="0.3">
      <c r="A10" s="223"/>
      <c r="B10" s="229">
        <v>0.3</v>
      </c>
      <c r="C10" s="225">
        <v>0</v>
      </c>
      <c r="D10" s="241"/>
      <c r="E10" s="229">
        <v>0.3</v>
      </c>
      <c r="F10" s="225">
        <v>0</v>
      </c>
      <c r="H10" s="229">
        <v>-0.3</v>
      </c>
      <c r="I10" s="225">
        <v>0</v>
      </c>
      <c r="J10" s="62"/>
      <c r="K10" s="229">
        <v>-0.3</v>
      </c>
      <c r="L10" s="225">
        <v>0</v>
      </c>
      <c r="N10" s="231">
        <v>-0.3</v>
      </c>
      <c r="O10" s="227">
        <v>0</v>
      </c>
      <c r="Q10" s="231">
        <v>-0.3</v>
      </c>
      <c r="R10" s="227">
        <v>0</v>
      </c>
    </row>
    <row r="11" spans="1:18" x14ac:dyDescent="0.3">
      <c r="A11" s="223"/>
      <c r="B11" s="229">
        <v>0.4</v>
      </c>
      <c r="C11" s="225">
        <v>0</v>
      </c>
      <c r="D11" s="241"/>
      <c r="E11" s="229">
        <v>0.4</v>
      </c>
      <c r="F11" s="225">
        <v>0</v>
      </c>
      <c r="H11" s="229">
        <v>-0.4</v>
      </c>
      <c r="I11" s="225">
        <v>0</v>
      </c>
      <c r="J11" s="62"/>
      <c r="K11" s="229">
        <v>-0.4</v>
      </c>
      <c r="L11" s="225">
        <v>0</v>
      </c>
      <c r="N11" s="231">
        <v>-0.4</v>
      </c>
      <c r="O11" s="227">
        <v>0</v>
      </c>
      <c r="Q11" s="231">
        <v>-0.4</v>
      </c>
      <c r="R11" s="227">
        <v>0</v>
      </c>
    </row>
    <row r="12" spans="1:18" x14ac:dyDescent="0.3">
      <c r="A12" s="223"/>
      <c r="B12" s="229">
        <v>0.5</v>
      </c>
      <c r="C12" s="225">
        <v>0</v>
      </c>
      <c r="D12" s="241"/>
      <c r="E12" s="229">
        <v>0.5</v>
      </c>
      <c r="F12" s="225">
        <v>0</v>
      </c>
      <c r="H12" s="229">
        <v>-0.5</v>
      </c>
      <c r="I12" s="225">
        <v>0</v>
      </c>
      <c r="J12" s="62"/>
      <c r="K12" s="229">
        <v>-0.5</v>
      </c>
      <c r="L12" s="225">
        <v>0</v>
      </c>
      <c r="N12" s="231">
        <v>-0.5</v>
      </c>
      <c r="O12" s="227">
        <v>0</v>
      </c>
      <c r="Q12" s="231">
        <v>-0.5</v>
      </c>
      <c r="R12" s="227">
        <v>0</v>
      </c>
    </row>
    <row r="13" spans="1:18" x14ac:dyDescent="0.3">
      <c r="A13" s="223"/>
      <c r="B13" s="229">
        <v>0.6</v>
      </c>
      <c r="C13" s="225">
        <v>0</v>
      </c>
      <c r="D13" s="241"/>
      <c r="E13" s="229">
        <v>0.6</v>
      </c>
      <c r="F13" s="225">
        <v>0</v>
      </c>
      <c r="H13" s="229">
        <v>-0.6</v>
      </c>
      <c r="I13" s="225">
        <v>0</v>
      </c>
      <c r="J13" s="62"/>
      <c r="K13" s="229">
        <v>-0.6</v>
      </c>
      <c r="L13" s="225">
        <v>0</v>
      </c>
      <c r="N13" s="231">
        <v>-0.6</v>
      </c>
      <c r="O13" s="227">
        <v>0</v>
      </c>
      <c r="Q13" s="231">
        <v>-0.6</v>
      </c>
      <c r="R13" s="227">
        <v>0</v>
      </c>
    </row>
    <row r="14" spans="1:18" x14ac:dyDescent="0.3">
      <c r="A14" s="219"/>
      <c r="B14" s="229">
        <v>0.7</v>
      </c>
      <c r="C14" s="225">
        <v>0</v>
      </c>
      <c r="D14" s="241"/>
      <c r="E14" s="229">
        <v>0.7</v>
      </c>
      <c r="F14" s="225">
        <v>0</v>
      </c>
      <c r="H14" s="229">
        <v>-0.7</v>
      </c>
      <c r="I14" s="225">
        <v>0</v>
      </c>
      <c r="J14" s="62"/>
      <c r="K14" s="229">
        <v>-0.7</v>
      </c>
      <c r="L14" s="225">
        <v>0</v>
      </c>
      <c r="N14" s="231">
        <v>-0.7</v>
      </c>
      <c r="O14" s="227">
        <v>0</v>
      </c>
      <c r="Q14" s="231">
        <v>-0.7</v>
      </c>
      <c r="R14" s="227">
        <v>0</v>
      </c>
    </row>
    <row r="15" spans="1:18" x14ac:dyDescent="0.3">
      <c r="A15" s="219"/>
      <c r="B15" s="229">
        <v>0.8</v>
      </c>
      <c r="C15" s="225">
        <v>0</v>
      </c>
      <c r="D15" s="241"/>
      <c r="E15" s="229">
        <v>0.8</v>
      </c>
      <c r="F15" s="225">
        <v>0</v>
      </c>
      <c r="H15" s="229">
        <v>-0.8</v>
      </c>
      <c r="I15" s="225">
        <v>0</v>
      </c>
      <c r="J15" s="62"/>
      <c r="K15" s="229">
        <v>-0.8</v>
      </c>
      <c r="L15" s="225">
        <v>0</v>
      </c>
      <c r="N15" s="231">
        <v>-0.8</v>
      </c>
      <c r="O15" s="227">
        <v>0</v>
      </c>
      <c r="Q15" s="231">
        <v>-0.8</v>
      </c>
      <c r="R15" s="227">
        <v>0</v>
      </c>
    </row>
    <row r="16" spans="1:18" x14ac:dyDescent="0.3">
      <c r="A16" s="219"/>
      <c r="B16" s="229">
        <v>0.9</v>
      </c>
      <c r="C16" s="225">
        <v>0</v>
      </c>
      <c r="D16" s="241"/>
      <c r="E16" s="229">
        <v>0.9</v>
      </c>
      <c r="F16" s="225">
        <v>0</v>
      </c>
      <c r="H16" s="229">
        <v>-0.9</v>
      </c>
      <c r="I16" s="225">
        <v>0</v>
      </c>
      <c r="J16" s="62"/>
      <c r="K16" s="229">
        <v>-0.9</v>
      </c>
      <c r="L16" s="225">
        <v>0</v>
      </c>
      <c r="N16" s="231">
        <v>-0.9</v>
      </c>
      <c r="O16" s="227">
        <v>0</v>
      </c>
      <c r="Q16" s="231">
        <v>-0.9</v>
      </c>
      <c r="R16" s="227">
        <v>0</v>
      </c>
    </row>
    <row r="17" spans="1:18" x14ac:dyDescent="0.3">
      <c r="A17" s="219"/>
      <c r="B17" s="230">
        <v>1</v>
      </c>
      <c r="C17" s="226">
        <v>0</v>
      </c>
      <c r="D17" s="241"/>
      <c r="E17" s="230">
        <v>1</v>
      </c>
      <c r="F17" s="226">
        <v>0</v>
      </c>
      <c r="H17" s="230">
        <v>-1</v>
      </c>
      <c r="I17" s="226">
        <v>0</v>
      </c>
      <c r="J17" s="62"/>
      <c r="K17" s="230">
        <v>-1</v>
      </c>
      <c r="L17" s="226">
        <v>0</v>
      </c>
      <c r="N17" s="232">
        <v>-1</v>
      </c>
      <c r="O17" s="228">
        <v>0</v>
      </c>
      <c r="Q17" s="232">
        <v>-1</v>
      </c>
      <c r="R17" s="228">
        <v>0</v>
      </c>
    </row>
    <row r="18" spans="1:18" x14ac:dyDescent="0.3">
      <c r="A18" s="223"/>
      <c r="B18" s="224"/>
      <c r="C18" s="224"/>
      <c r="D18" s="224"/>
      <c r="E18" s="224"/>
      <c r="F18" s="224"/>
      <c r="N18" s="235"/>
    </row>
    <row r="19" spans="1:18" x14ac:dyDescent="0.3">
      <c r="A19" s="223"/>
      <c r="B19" s="224"/>
      <c r="C19" s="224"/>
      <c r="D19" s="224"/>
      <c r="E19" s="224"/>
      <c r="F19" s="224"/>
    </row>
    <row r="20" spans="1:18" x14ac:dyDescent="0.3">
      <c r="A20" s="224"/>
      <c r="B20" s="224"/>
      <c r="C20" s="224"/>
      <c r="D20" s="224"/>
      <c r="E20" s="224"/>
      <c r="F20" s="224"/>
    </row>
    <row r="25" spans="1:18" ht="18.75" customHeight="1" x14ac:dyDescent="0.3">
      <c r="B25" s="224"/>
      <c r="C25" s="224"/>
      <c r="D25" s="716" t="s">
        <v>190</v>
      </c>
      <c r="E25" s="717"/>
      <c r="F25" s="717"/>
      <c r="G25" s="717"/>
      <c r="H25" s="717"/>
      <c r="I25" s="717"/>
      <c r="J25" s="717"/>
      <c r="K25" s="717"/>
      <c r="L25" s="717"/>
      <c r="M25" s="717"/>
      <c r="N25" s="718"/>
    </row>
    <row r="26" spans="1:18" x14ac:dyDescent="0.3">
      <c r="B26" s="224"/>
      <c r="C26" s="244">
        <f>B2</f>
        <v>0</v>
      </c>
      <c r="D26" s="250">
        <v>0</v>
      </c>
      <c r="E26" s="247">
        <v>-0.1</v>
      </c>
      <c r="F26" s="247">
        <v>-0.2</v>
      </c>
      <c r="G26" s="247">
        <v>-0.3</v>
      </c>
      <c r="H26" s="247">
        <v>-0.4</v>
      </c>
      <c r="I26" s="247">
        <v>-0.5</v>
      </c>
      <c r="J26" s="247">
        <v>-0.6</v>
      </c>
      <c r="K26" s="247">
        <v>-0.7</v>
      </c>
      <c r="L26" s="247">
        <v>-0.8</v>
      </c>
      <c r="M26" s="247">
        <v>-0.9</v>
      </c>
      <c r="N26" s="251">
        <v>-1</v>
      </c>
    </row>
    <row r="27" spans="1:18" ht="14.25" customHeight="1" x14ac:dyDescent="0.3">
      <c r="B27" s="719" t="s">
        <v>189</v>
      </c>
      <c r="C27" s="252">
        <v>0</v>
      </c>
      <c r="D27" s="241">
        <f t="dataTable" ref="D27:N37" dt2D="1" dtr="1" r1="Q7" r2="N7" ca="1"/>
        <v>0</v>
      </c>
      <c r="E27" s="241">
        <v>0</v>
      </c>
      <c r="F27" s="241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27">
        <v>0</v>
      </c>
    </row>
    <row r="28" spans="1:18" x14ac:dyDescent="0.3">
      <c r="B28" s="720"/>
      <c r="C28" s="245">
        <v>-0.1</v>
      </c>
      <c r="D28" s="241">
        <v>0</v>
      </c>
      <c r="E28" s="241">
        <v>0</v>
      </c>
      <c r="F28" s="241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27">
        <v>0</v>
      </c>
    </row>
    <row r="29" spans="1:18" x14ac:dyDescent="0.3">
      <c r="B29" s="720"/>
      <c r="C29" s="245">
        <v>-0.2</v>
      </c>
      <c r="D29" s="241">
        <v>0</v>
      </c>
      <c r="E29" s="241">
        <v>0</v>
      </c>
      <c r="F29" s="241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27">
        <v>0</v>
      </c>
    </row>
    <row r="30" spans="1:18" x14ac:dyDescent="0.3">
      <c r="B30" s="720"/>
      <c r="C30" s="245">
        <v>-0.3</v>
      </c>
      <c r="D30" s="241">
        <v>0</v>
      </c>
      <c r="E30" s="241">
        <v>0</v>
      </c>
      <c r="F30" s="241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27">
        <v>0</v>
      </c>
    </row>
    <row r="31" spans="1:18" x14ac:dyDescent="0.3">
      <c r="B31" s="720"/>
      <c r="C31" s="245">
        <v>-0.4</v>
      </c>
      <c r="D31" s="241">
        <v>0</v>
      </c>
      <c r="E31" s="241">
        <v>0</v>
      </c>
      <c r="F31" s="241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27">
        <v>0</v>
      </c>
    </row>
    <row r="32" spans="1:18" x14ac:dyDescent="0.3">
      <c r="B32" s="720"/>
      <c r="C32" s="245">
        <v>-0.5</v>
      </c>
      <c r="D32" s="241">
        <v>0</v>
      </c>
      <c r="E32" s="241">
        <v>0</v>
      </c>
      <c r="F32" s="241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27">
        <v>0</v>
      </c>
    </row>
    <row r="33" spans="2:14" x14ac:dyDescent="0.3">
      <c r="B33" s="720"/>
      <c r="C33" s="245">
        <v>-0.6</v>
      </c>
      <c r="D33" s="241">
        <v>0</v>
      </c>
      <c r="E33" s="241">
        <v>0</v>
      </c>
      <c r="F33" s="241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27">
        <v>0</v>
      </c>
    </row>
    <row r="34" spans="2:14" x14ac:dyDescent="0.3">
      <c r="B34" s="720"/>
      <c r="C34" s="245">
        <v>-0.7</v>
      </c>
      <c r="D34" s="241">
        <v>0</v>
      </c>
      <c r="E34" s="241">
        <v>0</v>
      </c>
      <c r="F34" s="241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27">
        <v>0</v>
      </c>
    </row>
    <row r="35" spans="2:14" x14ac:dyDescent="0.3">
      <c r="B35" s="720"/>
      <c r="C35" s="245">
        <v>-0.8</v>
      </c>
      <c r="D35" s="241">
        <v>0</v>
      </c>
      <c r="E35" s="241">
        <v>0</v>
      </c>
      <c r="F35" s="241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27">
        <v>0</v>
      </c>
    </row>
    <row r="36" spans="2:14" x14ac:dyDescent="0.3">
      <c r="B36" s="720"/>
      <c r="C36" s="245">
        <v>-0.9</v>
      </c>
      <c r="D36" s="241">
        <v>0</v>
      </c>
      <c r="E36" s="241">
        <v>0</v>
      </c>
      <c r="F36" s="241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27">
        <v>0</v>
      </c>
    </row>
    <row r="37" spans="2:14" x14ac:dyDescent="0.3">
      <c r="B37" s="721"/>
      <c r="C37" s="251">
        <v>-1</v>
      </c>
      <c r="D37" s="248">
        <v>0</v>
      </c>
      <c r="E37" s="248">
        <v>0</v>
      </c>
      <c r="F37" s="248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28">
        <v>0</v>
      </c>
    </row>
    <row r="41" spans="2:14" x14ac:dyDescent="0.3">
      <c r="B41" s="224"/>
      <c r="C41" s="224"/>
      <c r="D41" s="716" t="s">
        <v>191</v>
      </c>
      <c r="E41" s="717"/>
      <c r="F41" s="717"/>
      <c r="G41" s="717"/>
      <c r="H41" s="717"/>
      <c r="I41" s="717"/>
      <c r="J41" s="717"/>
      <c r="K41" s="717"/>
      <c r="L41" s="717"/>
      <c r="M41" s="717"/>
      <c r="N41" s="718"/>
    </row>
    <row r="42" spans="2:14" x14ac:dyDescent="0.3">
      <c r="B42" s="224"/>
      <c r="C42" s="244">
        <f>B2</f>
        <v>0</v>
      </c>
      <c r="D42" s="250">
        <v>0</v>
      </c>
      <c r="E42" s="247">
        <v>-0.1</v>
      </c>
      <c r="F42" s="247">
        <v>-0.2</v>
      </c>
      <c r="G42" s="247">
        <v>-0.3</v>
      </c>
      <c r="H42" s="247">
        <v>-0.4</v>
      </c>
      <c r="I42" s="247">
        <v>-0.5</v>
      </c>
      <c r="J42" s="247">
        <v>-0.6</v>
      </c>
      <c r="K42" s="247">
        <v>-0.7</v>
      </c>
      <c r="L42" s="247">
        <v>-0.8</v>
      </c>
      <c r="M42" s="247">
        <v>-0.9</v>
      </c>
      <c r="N42" s="251">
        <v>-1</v>
      </c>
    </row>
    <row r="43" spans="2:14" x14ac:dyDescent="0.3">
      <c r="B43" s="719" t="s">
        <v>193</v>
      </c>
      <c r="C43" s="252">
        <v>0</v>
      </c>
      <c r="D43" s="241">
        <f t="dataTable" ref="D43:N53" dt2D="1" dtr="1" r1="K7" r2="E7" ca="1"/>
        <v>0</v>
      </c>
      <c r="E43" s="241">
        <v>0</v>
      </c>
      <c r="F43" s="241">
        <v>0</v>
      </c>
      <c r="G43" s="246">
        <v>0</v>
      </c>
      <c r="H43" s="246">
        <v>0</v>
      </c>
      <c r="I43" s="246">
        <v>0</v>
      </c>
      <c r="J43" s="246">
        <v>0</v>
      </c>
      <c r="K43" s="246">
        <v>0</v>
      </c>
      <c r="L43" s="246">
        <v>0</v>
      </c>
      <c r="M43" s="246">
        <v>0</v>
      </c>
      <c r="N43" s="227">
        <v>0</v>
      </c>
    </row>
    <row r="44" spans="2:14" x14ac:dyDescent="0.3">
      <c r="B44" s="720"/>
      <c r="C44" s="245">
        <v>0.1</v>
      </c>
      <c r="D44" s="241">
        <v>0</v>
      </c>
      <c r="E44" s="241">
        <v>0</v>
      </c>
      <c r="F44" s="241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27">
        <v>0</v>
      </c>
    </row>
    <row r="45" spans="2:14" x14ac:dyDescent="0.3">
      <c r="B45" s="720"/>
      <c r="C45" s="245">
        <v>0.2</v>
      </c>
      <c r="D45" s="241">
        <v>0</v>
      </c>
      <c r="E45" s="241">
        <v>0</v>
      </c>
      <c r="F45" s="241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27">
        <v>0</v>
      </c>
    </row>
    <row r="46" spans="2:14" x14ac:dyDescent="0.3">
      <c r="B46" s="720"/>
      <c r="C46" s="245">
        <v>0.3</v>
      </c>
      <c r="D46" s="241">
        <v>0</v>
      </c>
      <c r="E46" s="241">
        <v>0</v>
      </c>
      <c r="F46" s="241">
        <v>0</v>
      </c>
      <c r="G46" s="246">
        <v>0</v>
      </c>
      <c r="H46" s="246">
        <v>0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27">
        <v>0</v>
      </c>
    </row>
    <row r="47" spans="2:14" x14ac:dyDescent="0.3">
      <c r="B47" s="720"/>
      <c r="C47" s="245">
        <v>0.4</v>
      </c>
      <c r="D47" s="241">
        <v>0</v>
      </c>
      <c r="E47" s="241">
        <v>0</v>
      </c>
      <c r="F47" s="241">
        <v>0</v>
      </c>
      <c r="G47" s="246">
        <v>0</v>
      </c>
      <c r="H47" s="246">
        <v>0</v>
      </c>
      <c r="I47" s="246">
        <v>0</v>
      </c>
      <c r="J47" s="246">
        <v>0</v>
      </c>
      <c r="K47" s="246">
        <v>0</v>
      </c>
      <c r="L47" s="246">
        <v>0</v>
      </c>
      <c r="M47" s="246">
        <v>0</v>
      </c>
      <c r="N47" s="227">
        <v>0</v>
      </c>
    </row>
    <row r="48" spans="2:14" x14ac:dyDescent="0.3">
      <c r="B48" s="720"/>
      <c r="C48" s="245">
        <v>0.5</v>
      </c>
      <c r="D48" s="241">
        <v>0</v>
      </c>
      <c r="E48" s="241">
        <v>0</v>
      </c>
      <c r="F48" s="241">
        <v>0</v>
      </c>
      <c r="G48" s="246">
        <v>0</v>
      </c>
      <c r="H48" s="246">
        <v>0</v>
      </c>
      <c r="I48" s="246">
        <v>0</v>
      </c>
      <c r="J48" s="246">
        <v>0</v>
      </c>
      <c r="K48" s="246">
        <v>0</v>
      </c>
      <c r="L48" s="246">
        <v>0</v>
      </c>
      <c r="M48" s="246">
        <v>0</v>
      </c>
      <c r="N48" s="227">
        <v>0</v>
      </c>
    </row>
    <row r="49" spans="2:14" x14ac:dyDescent="0.3">
      <c r="B49" s="720"/>
      <c r="C49" s="245">
        <v>0.6</v>
      </c>
      <c r="D49" s="241">
        <v>0</v>
      </c>
      <c r="E49" s="241">
        <v>0</v>
      </c>
      <c r="F49" s="241">
        <v>0</v>
      </c>
      <c r="G49" s="246">
        <v>0</v>
      </c>
      <c r="H49" s="246">
        <v>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27">
        <v>0</v>
      </c>
    </row>
    <row r="50" spans="2:14" x14ac:dyDescent="0.3">
      <c r="B50" s="720"/>
      <c r="C50" s="245">
        <v>0.7</v>
      </c>
      <c r="D50" s="241">
        <v>0</v>
      </c>
      <c r="E50" s="241">
        <v>0</v>
      </c>
      <c r="F50" s="241">
        <v>0</v>
      </c>
      <c r="G50" s="246">
        <v>0</v>
      </c>
      <c r="H50" s="246">
        <v>0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27">
        <v>0</v>
      </c>
    </row>
    <row r="51" spans="2:14" x14ac:dyDescent="0.3">
      <c r="B51" s="720"/>
      <c r="C51" s="245">
        <v>0.8</v>
      </c>
      <c r="D51" s="241">
        <v>0</v>
      </c>
      <c r="E51" s="241">
        <v>0</v>
      </c>
      <c r="F51" s="241">
        <v>0</v>
      </c>
      <c r="G51" s="246">
        <v>0</v>
      </c>
      <c r="H51" s="246">
        <v>0</v>
      </c>
      <c r="I51" s="246">
        <v>0</v>
      </c>
      <c r="J51" s="246">
        <v>0</v>
      </c>
      <c r="K51" s="246">
        <v>0</v>
      </c>
      <c r="L51" s="246">
        <v>0</v>
      </c>
      <c r="M51" s="246">
        <v>0</v>
      </c>
      <c r="N51" s="227">
        <v>0</v>
      </c>
    </row>
    <row r="52" spans="2:14" x14ac:dyDescent="0.3">
      <c r="B52" s="720"/>
      <c r="C52" s="245">
        <v>0.9</v>
      </c>
      <c r="D52" s="241">
        <v>0</v>
      </c>
      <c r="E52" s="241">
        <v>0</v>
      </c>
      <c r="F52" s="241">
        <v>0</v>
      </c>
      <c r="G52" s="246">
        <v>0</v>
      </c>
      <c r="H52" s="246">
        <v>0</v>
      </c>
      <c r="I52" s="246">
        <v>0</v>
      </c>
      <c r="J52" s="246">
        <v>0</v>
      </c>
      <c r="K52" s="246">
        <v>0</v>
      </c>
      <c r="L52" s="246">
        <v>0</v>
      </c>
      <c r="M52" s="246">
        <v>0</v>
      </c>
      <c r="N52" s="227">
        <v>0</v>
      </c>
    </row>
    <row r="53" spans="2:14" x14ac:dyDescent="0.3">
      <c r="B53" s="721"/>
      <c r="C53" s="251">
        <v>1</v>
      </c>
      <c r="D53" s="248">
        <v>0</v>
      </c>
      <c r="E53" s="248">
        <v>0</v>
      </c>
      <c r="F53" s="248">
        <v>0</v>
      </c>
      <c r="G53" s="249">
        <v>0</v>
      </c>
      <c r="H53" s="249">
        <v>0</v>
      </c>
      <c r="I53" s="249">
        <v>0</v>
      </c>
      <c r="J53" s="249">
        <v>0</v>
      </c>
      <c r="K53" s="249">
        <v>0</v>
      </c>
      <c r="L53" s="249">
        <v>0</v>
      </c>
      <c r="M53" s="249">
        <v>0</v>
      </c>
      <c r="N53" s="228">
        <v>0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topLeftCell="E4" zoomScale="81" zoomScaleNormal="85" zoomScaleSheetLayoutView="81" workbookViewId="0">
      <selection activeCell="M33" sqref="M33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6" width="13.88671875" customWidth="1"/>
    <col min="17" max="17" width="14.6640625" customWidth="1"/>
    <col min="18" max="18" width="14" customWidth="1"/>
    <col min="19" max="19" width="14.44140625" customWidth="1"/>
    <col min="20" max="20" width="14.33203125" bestFit="1" customWidth="1"/>
    <col min="21" max="21" width="13.6640625" customWidth="1"/>
    <col min="22" max="22" width="15.44140625" customWidth="1"/>
  </cols>
  <sheetData>
    <row r="1" spans="1:22" ht="15.75" customHeight="1" thickBot="1" x14ac:dyDescent="0.35">
      <c r="A1" s="18"/>
      <c r="B1" s="708" t="s">
        <v>44</v>
      </c>
      <c r="C1" s="709"/>
      <c r="D1" s="710"/>
      <c r="E1" s="708" t="s">
        <v>45</v>
      </c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10"/>
      <c r="Q1" s="711" t="s">
        <v>46</v>
      </c>
      <c r="R1" s="712"/>
      <c r="S1" s="712"/>
      <c r="T1" s="712"/>
      <c r="U1" s="712"/>
      <c r="V1" s="713"/>
    </row>
    <row r="2" spans="1:22" ht="24" customHeight="1" x14ac:dyDescent="0.3">
      <c r="A2" s="8"/>
      <c r="B2" s="711" t="s">
        <v>47</v>
      </c>
      <c r="C2" s="712"/>
      <c r="D2" s="713"/>
      <c r="E2" s="726" t="s">
        <v>48</v>
      </c>
      <c r="F2" s="727"/>
      <c r="G2" s="728"/>
      <c r="H2" s="729" t="s">
        <v>49</v>
      </c>
      <c r="I2" s="727"/>
      <c r="J2" s="728"/>
      <c r="K2" s="729" t="s">
        <v>50</v>
      </c>
      <c r="L2" s="727"/>
      <c r="M2" s="728"/>
      <c r="N2" s="729" t="s">
        <v>182</v>
      </c>
      <c r="O2" s="727"/>
      <c r="P2" s="730"/>
      <c r="Q2" s="712" t="s">
        <v>17</v>
      </c>
      <c r="R2" s="712"/>
      <c r="S2" s="713"/>
      <c r="T2" s="712" t="s">
        <v>18</v>
      </c>
      <c r="U2" s="712"/>
      <c r="V2" s="713"/>
    </row>
    <row r="3" spans="1:22" ht="18.600000000000001" customHeight="1" thickBot="1" x14ac:dyDescent="0.35">
      <c r="A3" s="19" t="s">
        <v>23</v>
      </c>
      <c r="B3" s="23" t="s">
        <v>220</v>
      </c>
      <c r="C3" s="20" t="s">
        <v>160</v>
      </c>
      <c r="D3" s="24" t="s">
        <v>24</v>
      </c>
      <c r="E3" s="14" t="s">
        <v>220</v>
      </c>
      <c r="F3" s="15" t="s">
        <v>160</v>
      </c>
      <c r="G3" s="22" t="s">
        <v>24</v>
      </c>
      <c r="H3" s="21" t="s">
        <v>220</v>
      </c>
      <c r="I3" s="15" t="s">
        <v>160</v>
      </c>
      <c r="J3" s="22" t="s">
        <v>24</v>
      </c>
      <c r="K3" s="21" t="s">
        <v>220</v>
      </c>
      <c r="L3" s="15" t="s">
        <v>160</v>
      </c>
      <c r="M3" s="22" t="s">
        <v>24</v>
      </c>
      <c r="N3" s="21" t="s">
        <v>220</v>
      </c>
      <c r="O3" s="15" t="s">
        <v>160</v>
      </c>
      <c r="P3" s="16" t="s">
        <v>24</v>
      </c>
      <c r="Q3" s="15" t="s">
        <v>220</v>
      </c>
      <c r="R3" s="15" t="s">
        <v>160</v>
      </c>
      <c r="S3" s="16" t="s">
        <v>24</v>
      </c>
      <c r="T3" s="15" t="s">
        <v>220</v>
      </c>
      <c r="U3" s="15" t="s">
        <v>160</v>
      </c>
      <c r="V3" s="16" t="s">
        <v>24</v>
      </c>
    </row>
    <row r="4" spans="1:22" x14ac:dyDescent="0.3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64"/>
      <c r="F4" s="365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0</v>
      </c>
      <c r="O4" s="26">
        <f>-'Parametre - Agendové IS'!E77</f>
        <v>0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0</v>
      </c>
      <c r="U4" s="26">
        <f>SUM(I4,L4,O4)</f>
        <v>0</v>
      </c>
      <c r="V4" s="29">
        <f>U4-T4</f>
        <v>0</v>
      </c>
    </row>
    <row r="5" spans="1:22" x14ac:dyDescent="0.3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64"/>
      <c r="F5" s="365"/>
      <c r="G5" s="29">
        <f t="shared" si="0"/>
        <v>0</v>
      </c>
      <c r="H5" s="30">
        <v>0</v>
      </c>
      <c r="I5" s="26">
        <f>'Parametre - Agendové IS'!E98</f>
        <v>0</v>
      </c>
      <c r="J5" s="156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0</v>
      </c>
      <c r="O5" s="26">
        <f>-'Parametre - Agendové IS'!E78</f>
        <v>0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0</v>
      </c>
      <c r="U5" s="26">
        <f t="shared" si="7"/>
        <v>0</v>
      </c>
      <c r="V5" s="29">
        <f t="shared" ref="V5:V13" si="8">U5-T5</f>
        <v>0</v>
      </c>
    </row>
    <row r="6" spans="1:22" x14ac:dyDescent="0.3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64"/>
      <c r="F6" s="365"/>
      <c r="G6" s="29">
        <f t="shared" si="0"/>
        <v>0</v>
      </c>
      <c r="H6" s="30">
        <v>0</v>
      </c>
      <c r="I6" s="26">
        <f>'Parametre - Agendové IS'!E99</f>
        <v>0</v>
      </c>
      <c r="J6" s="29">
        <f t="shared" ref="J6:J13" si="9">IF(ISERR(I6-H6),"-",I6-H6)</f>
        <v>0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0</v>
      </c>
      <c r="O6" s="26">
        <f>-'Parametre - Agendové IS'!E79</f>
        <v>0</v>
      </c>
      <c r="P6" s="29">
        <f t="shared" si="1"/>
        <v>0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0</v>
      </c>
      <c r="U6" s="26">
        <f t="shared" si="7"/>
        <v>0</v>
      </c>
      <c r="V6" s="29">
        <f t="shared" si="8"/>
        <v>0</v>
      </c>
    </row>
    <row r="7" spans="1:22" x14ac:dyDescent="0.3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64"/>
      <c r="F7" s="365"/>
      <c r="G7" s="29">
        <f t="shared" si="0"/>
        <v>0</v>
      </c>
      <c r="H7" s="30">
        <v>0</v>
      </c>
      <c r="I7" s="26">
        <f>'Parametre - Agendové IS'!E100</f>
        <v>0</v>
      </c>
      <c r="J7" s="29">
        <f t="shared" si="9"/>
        <v>0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0</v>
      </c>
      <c r="O7" s="26">
        <f>-'Parametre - Agendové IS'!E80</f>
        <v>0</v>
      </c>
      <c r="P7" s="29">
        <f t="shared" si="1"/>
        <v>0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0</v>
      </c>
      <c r="U7" s="26">
        <f t="shared" si="7"/>
        <v>0</v>
      </c>
      <c r="V7" s="29">
        <f t="shared" si="8"/>
        <v>0</v>
      </c>
    </row>
    <row r="8" spans="1:22" x14ac:dyDescent="0.3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64"/>
      <c r="F8" s="365"/>
      <c r="G8" s="29">
        <f t="shared" si="0"/>
        <v>0</v>
      </c>
      <c r="H8" s="30">
        <v>0</v>
      </c>
      <c r="I8" s="26">
        <f>'Parametre - Agendové IS'!E101</f>
        <v>0</v>
      </c>
      <c r="J8" s="29">
        <f t="shared" si="9"/>
        <v>0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0</v>
      </c>
      <c r="O8" s="26">
        <f>-'Parametre - Agendové IS'!E81</f>
        <v>0</v>
      </c>
      <c r="P8" s="29">
        <f t="shared" si="1"/>
        <v>0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0</v>
      </c>
      <c r="U8" s="26">
        <f t="shared" si="7"/>
        <v>0</v>
      </c>
      <c r="V8" s="29">
        <f t="shared" si="8"/>
        <v>0</v>
      </c>
    </row>
    <row r="9" spans="1:22" x14ac:dyDescent="0.3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64"/>
      <c r="F9" s="365"/>
      <c r="G9" s="29">
        <f t="shared" si="0"/>
        <v>0</v>
      </c>
      <c r="H9" s="30">
        <v>0</v>
      </c>
      <c r="I9" s="26">
        <f>'Parametre - Agendové IS'!E102</f>
        <v>0</v>
      </c>
      <c r="J9" s="29">
        <f t="shared" si="9"/>
        <v>0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0</v>
      </c>
      <c r="O9" s="26">
        <f>-'Parametre - Agendové IS'!E82</f>
        <v>0</v>
      </c>
      <c r="P9" s="29">
        <f t="shared" si="1"/>
        <v>0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0</v>
      </c>
      <c r="U9" s="26">
        <f t="shared" si="7"/>
        <v>0</v>
      </c>
      <c r="V9" s="29">
        <f t="shared" si="8"/>
        <v>0</v>
      </c>
    </row>
    <row r="10" spans="1:22" x14ac:dyDescent="0.3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64"/>
      <c r="F10" s="365"/>
      <c r="G10" s="29">
        <f t="shared" si="0"/>
        <v>0</v>
      </c>
      <c r="H10" s="30">
        <v>0</v>
      </c>
      <c r="I10" s="26">
        <f>'Parametre - Agendové IS'!E103</f>
        <v>0</v>
      </c>
      <c r="J10" s="29">
        <f t="shared" si="9"/>
        <v>0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0</v>
      </c>
      <c r="O10" s="26">
        <f>-'Parametre - Agendové IS'!E83</f>
        <v>0</v>
      </c>
      <c r="P10" s="29">
        <f t="shared" si="1"/>
        <v>0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0</v>
      </c>
      <c r="U10" s="26">
        <f t="shared" si="7"/>
        <v>0</v>
      </c>
      <c r="V10" s="29">
        <f t="shared" si="8"/>
        <v>0</v>
      </c>
    </row>
    <row r="11" spans="1:22" x14ac:dyDescent="0.3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64"/>
      <c r="F11" s="365"/>
      <c r="G11" s="29">
        <f t="shared" si="0"/>
        <v>0</v>
      </c>
      <c r="H11" s="30">
        <v>0</v>
      </c>
      <c r="I11" s="26">
        <f>'Parametre - Agendové IS'!E104</f>
        <v>0</v>
      </c>
      <c r="J11" s="29">
        <f t="shared" si="9"/>
        <v>0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0</v>
      </c>
      <c r="O11" s="26">
        <f>-'Parametre - Agendové IS'!E84</f>
        <v>0</v>
      </c>
      <c r="P11" s="29">
        <f t="shared" si="1"/>
        <v>0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0</v>
      </c>
      <c r="U11" s="26">
        <f t="shared" si="7"/>
        <v>0</v>
      </c>
      <c r="V11" s="29">
        <f t="shared" si="8"/>
        <v>0</v>
      </c>
    </row>
    <row r="12" spans="1:22" x14ac:dyDescent="0.3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64"/>
      <c r="F12" s="365"/>
      <c r="G12" s="29">
        <f t="shared" si="0"/>
        <v>0</v>
      </c>
      <c r="H12" s="30">
        <v>0</v>
      </c>
      <c r="I12" s="26">
        <f>'Parametre - Agendové IS'!E105</f>
        <v>0</v>
      </c>
      <c r="J12" s="29">
        <f t="shared" si="9"/>
        <v>0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0</v>
      </c>
      <c r="O12" s="26">
        <f>-'Parametre - Agendové IS'!E85</f>
        <v>0</v>
      </c>
      <c r="P12" s="29">
        <f t="shared" si="1"/>
        <v>0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0</v>
      </c>
      <c r="U12" s="26">
        <f t="shared" si="7"/>
        <v>0</v>
      </c>
      <c r="V12" s="29">
        <f t="shared" si="8"/>
        <v>0</v>
      </c>
    </row>
    <row r="13" spans="1:22" ht="15.6" customHeight="1" thickBot="1" x14ac:dyDescent="0.35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77">
        <f t="shared" si="3"/>
        <v>0</v>
      </c>
      <c r="E13" s="366"/>
      <c r="F13" s="367"/>
      <c r="G13" s="177">
        <f t="shared" si="0"/>
        <v>0</v>
      </c>
      <c r="H13" s="30">
        <v>0</v>
      </c>
      <c r="I13" s="44">
        <f>'Parametre - Agendové IS'!E106</f>
        <v>0</v>
      </c>
      <c r="J13" s="177">
        <f t="shared" si="9"/>
        <v>0</v>
      </c>
      <c r="K13" s="48">
        <f>'Parametre - Agendové IS'!D136</f>
        <v>0</v>
      </c>
      <c r="L13" s="48">
        <f>'Parametre - Agendové IS'!E136</f>
        <v>0</v>
      </c>
      <c r="M13" s="177">
        <f t="shared" si="4"/>
        <v>0</v>
      </c>
      <c r="N13" s="44">
        <f>-'Parametre - Agendové IS'!D86</f>
        <v>0</v>
      </c>
      <c r="O13" s="44">
        <f>-'Parametre - Agendové IS'!E86</f>
        <v>0</v>
      </c>
      <c r="P13" s="44">
        <f t="shared" si="1"/>
        <v>0</v>
      </c>
      <c r="Q13" s="180">
        <f t="shared" si="5"/>
        <v>0</v>
      </c>
      <c r="R13" s="44">
        <f t="shared" si="2"/>
        <v>0</v>
      </c>
      <c r="S13" s="177">
        <f>R13-Q13</f>
        <v>0</v>
      </c>
      <c r="T13" s="48">
        <f t="shared" si="7"/>
        <v>0</v>
      </c>
      <c r="U13" s="44">
        <f t="shared" si="7"/>
        <v>0</v>
      </c>
      <c r="V13" s="177">
        <f t="shared" si="8"/>
        <v>0</v>
      </c>
    </row>
    <row r="14" spans="1:22" x14ac:dyDescent="0.3">
      <c r="A14" s="181" t="s">
        <v>107</v>
      </c>
      <c r="B14" s="559">
        <f>SUM(B4:B13)</f>
        <v>0</v>
      </c>
      <c r="C14" s="559">
        <f t="shared" ref="C14:P14" si="10">SUM(C4:C13)</f>
        <v>0</v>
      </c>
      <c r="D14" s="560">
        <f t="shared" si="10"/>
        <v>0</v>
      </c>
      <c r="E14" s="559">
        <f t="shared" si="10"/>
        <v>0</v>
      </c>
      <c r="F14" s="561">
        <f t="shared" si="10"/>
        <v>0</v>
      </c>
      <c r="G14" s="560">
        <f t="shared" si="10"/>
        <v>0</v>
      </c>
      <c r="H14" s="559">
        <f t="shared" si="10"/>
        <v>0</v>
      </c>
      <c r="I14" s="561">
        <f t="shared" si="10"/>
        <v>0</v>
      </c>
      <c r="J14" s="560">
        <f t="shared" si="10"/>
        <v>0</v>
      </c>
      <c r="K14" s="559">
        <f t="shared" si="10"/>
        <v>0</v>
      </c>
      <c r="L14" s="559">
        <f t="shared" si="10"/>
        <v>0</v>
      </c>
      <c r="M14" s="560">
        <f t="shared" si="10"/>
        <v>0</v>
      </c>
      <c r="N14" s="561">
        <f t="shared" si="10"/>
        <v>0</v>
      </c>
      <c r="O14" s="561">
        <f t="shared" si="10"/>
        <v>0</v>
      </c>
      <c r="P14" s="562">
        <f t="shared" si="10"/>
        <v>0</v>
      </c>
      <c r="Q14" s="563">
        <f t="shared" ref="Q14:V14" si="11">SUM(Q4:Q13)</f>
        <v>0</v>
      </c>
      <c r="R14" s="561">
        <f t="shared" si="11"/>
        <v>0</v>
      </c>
      <c r="S14" s="564">
        <f t="shared" si="11"/>
        <v>0</v>
      </c>
      <c r="T14" s="563">
        <f t="shared" si="11"/>
        <v>0</v>
      </c>
      <c r="U14" s="561">
        <f t="shared" si="11"/>
        <v>0</v>
      </c>
      <c r="V14" s="565">
        <f t="shared" si="11"/>
        <v>0</v>
      </c>
    </row>
    <row r="15" spans="1:22" ht="15" thickBot="1" x14ac:dyDescent="0.35">
      <c r="A15" s="182" t="s">
        <v>150</v>
      </c>
      <c r="B15" s="566"/>
      <c r="C15" s="566"/>
      <c r="D15" s="567">
        <f>D4+NPV(Faktory!$D$5,'Prínosy - Agendové IS'!D5:D13)</f>
        <v>0</v>
      </c>
      <c r="E15" s="568"/>
      <c r="F15" s="569"/>
      <c r="G15" s="567">
        <f>G4+NPV(Faktory!$D$3,'Prínosy - Agendové IS'!G5:G13)</f>
        <v>0</v>
      </c>
      <c r="H15" s="568"/>
      <c r="I15" s="569"/>
      <c r="J15" s="567">
        <f>J4+NPV(Faktory!$D$5,'Prínosy - Agendové IS'!J5:J13)</f>
        <v>0</v>
      </c>
      <c r="K15" s="566"/>
      <c r="L15" s="566"/>
      <c r="M15" s="567">
        <f>M4+NPV(Faktory!$D$5,'Prínosy - Agendové IS'!M5:M13)</f>
        <v>0</v>
      </c>
      <c r="N15" s="569"/>
      <c r="O15" s="569"/>
      <c r="P15" s="570">
        <f>P4+NPV(Faktory!$D$5,'Prínosy - Agendové IS'!P5:P13)</f>
        <v>0</v>
      </c>
      <c r="Q15" s="571"/>
      <c r="R15" s="569"/>
      <c r="S15" s="567">
        <f>S4+NPV(Faktory!$D$5,'Prínosy - Agendové IS'!S5:S13)</f>
        <v>0</v>
      </c>
      <c r="T15" s="571"/>
      <c r="U15" s="569"/>
      <c r="V15" s="567">
        <f>V4+NPV(Faktory!$D$5,'Prínosy - Agendové IS'!V5:V13)</f>
        <v>0</v>
      </c>
    </row>
    <row r="17" spans="2:2" x14ac:dyDescent="0.3">
      <c r="B17" s="108" t="s">
        <v>163</v>
      </c>
    </row>
    <row r="38" spans="15:15" x14ac:dyDescent="0.3">
      <c r="O38" s="179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topLeftCell="H1" zoomScale="81" zoomScaleNormal="80" zoomScaleSheetLayoutView="81" workbookViewId="0">
      <selection activeCell="S15" sqref="S15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8"/>
      <c r="B1" s="732" t="s">
        <v>176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4"/>
      <c r="N1" s="732" t="s">
        <v>312</v>
      </c>
      <c r="O1" s="733"/>
      <c r="P1" s="734"/>
      <c r="Q1" s="731" t="s">
        <v>71</v>
      </c>
      <c r="R1" s="731"/>
      <c r="S1" s="731"/>
      <c r="T1" s="708" t="s">
        <v>72</v>
      </c>
      <c r="U1" s="709"/>
      <c r="V1" s="710"/>
    </row>
    <row r="2" spans="1:23" ht="15.75" customHeight="1" thickBot="1" x14ac:dyDescent="0.35">
      <c r="A2" s="8"/>
      <c r="B2" s="709" t="s">
        <v>68</v>
      </c>
      <c r="C2" s="709"/>
      <c r="D2" s="710"/>
      <c r="E2" s="709" t="s">
        <v>69</v>
      </c>
      <c r="F2" s="709"/>
      <c r="G2" s="710"/>
      <c r="H2" s="709" t="s">
        <v>109</v>
      </c>
      <c r="I2" s="709"/>
      <c r="J2" s="710"/>
      <c r="K2" s="709" t="s">
        <v>340</v>
      </c>
      <c r="L2" s="709"/>
      <c r="M2" s="710"/>
      <c r="N2" s="709"/>
      <c r="O2" s="709"/>
      <c r="P2" s="710"/>
      <c r="Q2" s="709" t="s">
        <v>70</v>
      </c>
      <c r="R2" s="709"/>
      <c r="S2" s="710"/>
      <c r="T2" s="8"/>
      <c r="U2" s="8"/>
      <c r="V2" s="39"/>
    </row>
    <row r="3" spans="1:23" ht="19.350000000000001" customHeight="1" thickBot="1" x14ac:dyDescent="0.35">
      <c r="A3" s="41" t="s">
        <v>23</v>
      </c>
      <c r="B3" s="42" t="s">
        <v>220</v>
      </c>
      <c r="C3" s="42" t="s">
        <v>160</v>
      </c>
      <c r="D3" s="43" t="s">
        <v>24</v>
      </c>
      <c r="E3" s="42" t="s">
        <v>220</v>
      </c>
      <c r="F3" s="42" t="s">
        <v>160</v>
      </c>
      <c r="G3" s="43" t="s">
        <v>24</v>
      </c>
      <c r="H3" s="42" t="s">
        <v>220</v>
      </c>
      <c r="I3" s="42" t="s">
        <v>160</v>
      </c>
      <c r="J3" s="43" t="s">
        <v>24</v>
      </c>
      <c r="K3" s="42" t="s">
        <v>220</v>
      </c>
      <c r="L3" s="42" t="s">
        <v>160</v>
      </c>
      <c r="M3" s="43" t="s">
        <v>24</v>
      </c>
      <c r="N3" s="42" t="s">
        <v>220</v>
      </c>
      <c r="O3" s="42" t="s">
        <v>160</v>
      </c>
      <c r="P3" s="43" t="s">
        <v>24</v>
      </c>
      <c r="Q3" s="42" t="s">
        <v>220</v>
      </c>
      <c r="R3" s="42" t="s">
        <v>160</v>
      </c>
      <c r="S3" s="43" t="s">
        <v>24</v>
      </c>
      <c r="T3" s="42" t="s">
        <v>220</v>
      </c>
      <c r="U3" s="42" t="s">
        <v>160</v>
      </c>
      <c r="V3" s="43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379819.41199999995</v>
      </c>
      <c r="D4" s="34">
        <f>C4-B4</f>
        <v>379819.41199999995</v>
      </c>
      <c r="E4" s="27">
        <f>TCO!D22+TCO!D23</f>
        <v>16238</v>
      </c>
      <c r="F4" s="26">
        <f>(TCO!D$7*(1+$W$5))+TCO!D$8</f>
        <v>46442</v>
      </c>
      <c r="G4" s="34">
        <f>F4-E4</f>
        <v>30204</v>
      </c>
      <c r="H4" s="26">
        <f>TCO!D24+TCO!D25</f>
        <v>0</v>
      </c>
      <c r="I4" s="26">
        <f>(TCO!D$9*(1+$W$5))+TCO!D$10</f>
        <v>151965</v>
      </c>
      <c r="J4" s="34">
        <f>I4-H4</f>
        <v>151965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36740</v>
      </c>
      <c r="P4" s="34">
        <f>O4-N4</f>
        <v>36740</v>
      </c>
      <c r="Q4" s="27">
        <f>'Parametre - Agendové IS'!D107</f>
        <v>0</v>
      </c>
      <c r="R4" s="27">
        <f>'Parametre - Agendové IS'!E107</f>
        <v>0</v>
      </c>
      <c r="S4" s="34">
        <f t="shared" ref="S4:S13" si="0">IF(ISERR(R4-Q4),"-",R4-Q4)</f>
        <v>0</v>
      </c>
      <c r="T4" s="26">
        <f>SUM(B4,E4,H4,K4,N4,Q4)</f>
        <v>16238</v>
      </c>
      <c r="U4" s="26">
        <f>((C4+F4+L4+O4+I4)*(1+$W$4))+R4</f>
        <v>614966.41200000001</v>
      </c>
      <c r="V4" s="34">
        <f>U4-T4</f>
        <v>598728.41200000001</v>
      </c>
      <c r="W4" s="221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9024</v>
      </c>
      <c r="F5" s="26">
        <f>(TCO!E$7*(1+$W$5))+TCO!E$8</f>
        <v>12044.4</v>
      </c>
      <c r="G5" s="29">
        <f t="shared" ref="G5:G13" si="2">F5-E5</f>
        <v>3020.3999999999996</v>
      </c>
      <c r="H5" s="26">
        <f>TCO!E24+TCO!E25</f>
        <v>0</v>
      </c>
      <c r="I5" s="26">
        <f>(TCO!E$9*(1+$W$5))+TCO!E$10</f>
        <v>15196.5</v>
      </c>
      <c r="J5" s="29">
        <f t="shared" ref="J5:J13" si="3">I5-H5</f>
        <v>15196.5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IS'!D108</f>
        <v>0</v>
      </c>
      <c r="R5" s="27">
        <f>'Parametre - Agendové IS'!E108</f>
        <v>0</v>
      </c>
      <c r="S5" s="29">
        <f t="shared" si="0"/>
        <v>0</v>
      </c>
      <c r="T5" s="26">
        <f t="shared" ref="T5:T13" si="6">SUM(B5,E5,H5,K5,N5,Q5)</f>
        <v>9024</v>
      </c>
      <c r="U5" s="26">
        <f t="shared" ref="U5:U13" si="7">((C5+F5+L5+O5+I5)*(1+$W$4))+R5</f>
        <v>27240.9</v>
      </c>
      <c r="V5" s="29">
        <f t="shared" ref="V5:V13" si="8">U5-T5</f>
        <v>18216.900000000001</v>
      </c>
      <c r="W5" s="221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20890.067659999997</v>
      </c>
      <c r="D6" s="29">
        <f t="shared" si="1"/>
        <v>20890.067659999997</v>
      </c>
      <c r="E6" s="27">
        <f>TCO!F22+TCO!F23</f>
        <v>4200</v>
      </c>
      <c r="F6" s="26">
        <f>(TCO!F$7*(1+$W$5))+TCO!F$8</f>
        <v>7220.4</v>
      </c>
      <c r="G6" s="29">
        <f t="shared" si="2"/>
        <v>3020.3999999999996</v>
      </c>
      <c r="H6" s="26">
        <f>TCO!F24+TCO!F25</f>
        <v>0</v>
      </c>
      <c r="I6" s="26">
        <f>(TCO!F$9*(1+$W$5))+TCO!F$10</f>
        <v>15196.5</v>
      </c>
      <c r="J6" s="29">
        <f t="shared" si="3"/>
        <v>15196.5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0</v>
      </c>
      <c r="R6" s="27">
        <f>'Parametre - Agendové IS'!E109</f>
        <v>0</v>
      </c>
      <c r="S6" s="29">
        <f t="shared" si="0"/>
        <v>0</v>
      </c>
      <c r="T6" s="26">
        <f t="shared" si="6"/>
        <v>4200</v>
      </c>
      <c r="U6" s="26">
        <f t="shared" si="7"/>
        <v>43306.967659999995</v>
      </c>
      <c r="V6" s="29">
        <f t="shared" si="8"/>
        <v>39106.967659999995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20890.067659999997</v>
      </c>
      <c r="D7" s="29">
        <f t="shared" si="1"/>
        <v>20890.067659999997</v>
      </c>
      <c r="E7" s="27">
        <f>TCO!G22+TCO!G23</f>
        <v>3500</v>
      </c>
      <c r="F7" s="26">
        <f>(TCO!G$7*(1+$W$5))+TCO!G$8</f>
        <v>6520.4</v>
      </c>
      <c r="G7" s="29">
        <f t="shared" si="2"/>
        <v>3020.3999999999996</v>
      </c>
      <c r="H7" s="26">
        <f>TCO!G24+TCO!G25</f>
        <v>0</v>
      </c>
      <c r="I7" s="26">
        <f>(TCO!G$9*(1+$W$5))+TCO!G$10</f>
        <v>15196.5</v>
      </c>
      <c r="J7" s="29">
        <f t="shared" si="3"/>
        <v>15196.5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0</v>
      </c>
      <c r="R7" s="27">
        <f>'Parametre - Agendové IS'!E110</f>
        <v>0</v>
      </c>
      <c r="S7" s="29">
        <f t="shared" si="0"/>
        <v>0</v>
      </c>
      <c r="T7" s="26">
        <f t="shared" si="6"/>
        <v>3500</v>
      </c>
      <c r="U7" s="26">
        <f t="shared" si="7"/>
        <v>42606.967659999995</v>
      </c>
      <c r="V7" s="29">
        <f t="shared" si="8"/>
        <v>39106.967659999995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20890.067659999997</v>
      </c>
      <c r="D8" s="29">
        <f t="shared" si="1"/>
        <v>20890.067659999997</v>
      </c>
      <c r="E8" s="27">
        <f>TCO!H22+TCO!H23</f>
        <v>0</v>
      </c>
      <c r="F8" s="26">
        <f>(TCO!H$7*(1+$W$5))+TCO!H$8</f>
        <v>3020.4</v>
      </c>
      <c r="G8" s="29">
        <f t="shared" si="2"/>
        <v>3020.4</v>
      </c>
      <c r="H8" s="26">
        <f>TCO!H24+TCO!H25</f>
        <v>0</v>
      </c>
      <c r="I8" s="26">
        <f>(TCO!H$9*(1+$W$5))+TCO!H$10</f>
        <v>15196.5</v>
      </c>
      <c r="J8" s="29">
        <f t="shared" si="3"/>
        <v>15196.5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0</v>
      </c>
      <c r="R8" s="27">
        <f>'Parametre - Agendové IS'!E111</f>
        <v>0</v>
      </c>
      <c r="S8" s="29">
        <f t="shared" si="0"/>
        <v>0</v>
      </c>
      <c r="T8" s="26">
        <f t="shared" si="6"/>
        <v>0</v>
      </c>
      <c r="U8" s="26">
        <f t="shared" si="7"/>
        <v>39106.967659999995</v>
      </c>
      <c r="V8" s="29">
        <f t="shared" si="8"/>
        <v>39106.967659999995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20890.067659999997</v>
      </c>
      <c r="D9" s="29">
        <f t="shared" si="1"/>
        <v>20890.067659999997</v>
      </c>
      <c r="E9" s="27">
        <f>TCO!I22+TCO!I23</f>
        <v>0</v>
      </c>
      <c r="F9" s="26">
        <f>(TCO!I$7*(1+$W$5))+TCO!I$8</f>
        <v>3020.4</v>
      </c>
      <c r="G9" s="29">
        <f t="shared" si="2"/>
        <v>3020.4</v>
      </c>
      <c r="H9" s="26">
        <f>TCO!I24+TCO!I25</f>
        <v>0</v>
      </c>
      <c r="I9" s="26">
        <f>(TCO!I$9*(1+$W$5))+TCO!I$10</f>
        <v>15196.5</v>
      </c>
      <c r="J9" s="29">
        <f t="shared" si="3"/>
        <v>15196.5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0</v>
      </c>
      <c r="R9" s="27">
        <f>'Parametre - Agendové IS'!E112</f>
        <v>0</v>
      </c>
      <c r="S9" s="29">
        <f t="shared" si="0"/>
        <v>0</v>
      </c>
      <c r="T9" s="26">
        <f t="shared" si="6"/>
        <v>0</v>
      </c>
      <c r="U9" s="26">
        <f t="shared" si="7"/>
        <v>39106.967659999995</v>
      </c>
      <c r="V9" s="29">
        <f t="shared" si="8"/>
        <v>39106.967659999995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20890.067659999997</v>
      </c>
      <c r="D10" s="29">
        <f t="shared" si="1"/>
        <v>20890.067659999997</v>
      </c>
      <c r="E10" s="27">
        <f>TCO!J22+TCO!J23</f>
        <v>0</v>
      </c>
      <c r="F10" s="26">
        <f>(TCO!J$7*(1+$W$5))+TCO!J$8</f>
        <v>3020.4</v>
      </c>
      <c r="G10" s="29">
        <f t="shared" si="2"/>
        <v>3020.4</v>
      </c>
      <c r="H10" s="26">
        <f>TCO!J24+TCO!J25</f>
        <v>0</v>
      </c>
      <c r="I10" s="26">
        <f>(TCO!J$9*(1+$W$5))+TCO!J$10</f>
        <v>15196.5</v>
      </c>
      <c r="J10" s="29">
        <f t="shared" si="3"/>
        <v>15196.5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0</v>
      </c>
      <c r="R10" s="27">
        <f>'Parametre - Agendové IS'!E113</f>
        <v>0</v>
      </c>
      <c r="S10" s="29">
        <f t="shared" si="0"/>
        <v>0</v>
      </c>
      <c r="T10" s="26">
        <f t="shared" si="6"/>
        <v>0</v>
      </c>
      <c r="U10" s="26">
        <f t="shared" si="7"/>
        <v>39106.967659999995</v>
      </c>
      <c r="V10" s="29">
        <f t="shared" si="8"/>
        <v>39106.967659999995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20890.067659999997</v>
      </c>
      <c r="D11" s="29">
        <f t="shared" si="1"/>
        <v>20890.067659999997</v>
      </c>
      <c r="E11" s="27">
        <f>TCO!K22+TCO!K23</f>
        <v>0</v>
      </c>
      <c r="F11" s="26">
        <f>(TCO!K$7*(1+$W$5))+TCO!K$8</f>
        <v>3020.4</v>
      </c>
      <c r="G11" s="29">
        <f t="shared" si="2"/>
        <v>3020.4</v>
      </c>
      <c r="H11" s="26">
        <f>TCO!K24+TCO!K25</f>
        <v>0</v>
      </c>
      <c r="I11" s="26">
        <f>(TCO!K$9*(1+$W$5))+TCO!K$10</f>
        <v>15196.5</v>
      </c>
      <c r="J11" s="29">
        <f t="shared" si="3"/>
        <v>15196.5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0</v>
      </c>
      <c r="R11" s="27">
        <f>'Parametre - Agendové IS'!E114</f>
        <v>0</v>
      </c>
      <c r="S11" s="29">
        <f t="shared" si="0"/>
        <v>0</v>
      </c>
      <c r="T11" s="26">
        <f t="shared" si="6"/>
        <v>0</v>
      </c>
      <c r="U11" s="26">
        <f t="shared" si="7"/>
        <v>39106.967659999995</v>
      </c>
      <c r="V11" s="29">
        <f t="shared" si="8"/>
        <v>39106.967659999995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20890.067659999997</v>
      </c>
      <c r="D12" s="29">
        <f t="shared" si="1"/>
        <v>20890.067659999997</v>
      </c>
      <c r="E12" s="27">
        <f>TCO!L22+TCO!L23</f>
        <v>0</v>
      </c>
      <c r="F12" s="26">
        <f>(TCO!L$7*(1+$W$5))+TCO!L$8</f>
        <v>3020.4</v>
      </c>
      <c r="G12" s="29">
        <f t="shared" si="2"/>
        <v>3020.4</v>
      </c>
      <c r="H12" s="26">
        <f>TCO!L24+TCO!L25</f>
        <v>0</v>
      </c>
      <c r="I12" s="26">
        <f>(TCO!L$9*(1+$W$5))+TCO!L$10</f>
        <v>15196.5</v>
      </c>
      <c r="J12" s="29">
        <f t="shared" si="3"/>
        <v>15196.5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0</v>
      </c>
      <c r="R12" s="27">
        <f>'Parametre - Agendové IS'!E115</f>
        <v>0</v>
      </c>
      <c r="S12" s="29">
        <f t="shared" si="0"/>
        <v>0</v>
      </c>
      <c r="T12" s="26">
        <f t="shared" si="6"/>
        <v>0</v>
      </c>
      <c r="U12" s="26">
        <f t="shared" si="7"/>
        <v>39106.967659999995</v>
      </c>
      <c r="V12" s="29">
        <f t="shared" si="8"/>
        <v>39106.967659999995</v>
      </c>
    </row>
    <row r="13" spans="1:23" ht="15" thickBot="1" x14ac:dyDescent="0.35">
      <c r="A13" s="40" t="s">
        <v>34</v>
      </c>
      <c r="B13" s="44">
        <f>TCO!M26+TCO!M27</f>
        <v>0</v>
      </c>
      <c r="C13" s="44">
        <f>(TCO!M$12*(1+$W$5))+TCO!M$13</f>
        <v>20890.067659999997</v>
      </c>
      <c r="D13" s="177">
        <f t="shared" si="1"/>
        <v>20890.067659999997</v>
      </c>
      <c r="E13" s="48">
        <f>TCO!M22+TCO!M23</f>
        <v>0</v>
      </c>
      <c r="F13" s="44">
        <f>(TCO!M$7*(1+$W$5))+TCO!M$8</f>
        <v>3020.4</v>
      </c>
      <c r="G13" s="177">
        <f t="shared" si="2"/>
        <v>3020.4</v>
      </c>
      <c r="H13" s="44">
        <f>TCO!M24+TCO!M25</f>
        <v>0</v>
      </c>
      <c r="I13" s="44">
        <f>(TCO!M$9*(1+$W$5))+TCO!M$10</f>
        <v>15196.5</v>
      </c>
      <c r="J13" s="177">
        <f t="shared" si="3"/>
        <v>15196.5</v>
      </c>
      <c r="K13" s="48">
        <v>0</v>
      </c>
      <c r="L13" s="48">
        <f>TCO!M11</f>
        <v>0</v>
      </c>
      <c r="M13" s="177">
        <f t="shared" si="4"/>
        <v>0</v>
      </c>
      <c r="N13" s="48">
        <v>0</v>
      </c>
      <c r="O13" s="48">
        <f>TCO!M14</f>
        <v>0</v>
      </c>
      <c r="P13" s="177">
        <f t="shared" si="5"/>
        <v>0</v>
      </c>
      <c r="Q13" s="48">
        <f>'Parametre - Agendové IS'!D116</f>
        <v>0</v>
      </c>
      <c r="R13" s="48">
        <f>'Parametre - Agendové IS'!E116</f>
        <v>0</v>
      </c>
      <c r="S13" s="177">
        <f t="shared" si="0"/>
        <v>0</v>
      </c>
      <c r="T13" s="26">
        <f t="shared" si="6"/>
        <v>0</v>
      </c>
      <c r="U13" s="26">
        <f t="shared" si="7"/>
        <v>39106.967659999995</v>
      </c>
      <c r="V13" s="177">
        <f t="shared" si="8"/>
        <v>39106.967659999995</v>
      </c>
    </row>
    <row r="14" spans="1:23" x14ac:dyDescent="0.3">
      <c r="A14" s="572" t="s">
        <v>107</v>
      </c>
      <c r="B14" s="563">
        <f>SUM(B4:B13)</f>
        <v>0</v>
      </c>
      <c r="C14" s="561">
        <f t="shared" ref="C14:S14" si="9">SUM(C4:C13)</f>
        <v>546939.9532799999</v>
      </c>
      <c r="D14" s="560">
        <f t="shared" si="9"/>
        <v>546939.9532799999</v>
      </c>
      <c r="E14" s="563">
        <f t="shared" si="9"/>
        <v>32962</v>
      </c>
      <c r="F14" s="561">
        <f t="shared" si="9"/>
        <v>90349.599999999962</v>
      </c>
      <c r="G14" s="560">
        <f t="shared" si="9"/>
        <v>57387.600000000013</v>
      </c>
      <c r="H14" s="563">
        <f t="shared" si="9"/>
        <v>0</v>
      </c>
      <c r="I14" s="561">
        <f t="shared" si="9"/>
        <v>288733.5</v>
      </c>
      <c r="J14" s="560">
        <f t="shared" si="9"/>
        <v>288733.5</v>
      </c>
      <c r="K14" s="563">
        <f t="shared" ref="K14:P14" si="10">SUM(K4:K13)</f>
        <v>0</v>
      </c>
      <c r="L14" s="561">
        <f t="shared" si="10"/>
        <v>0</v>
      </c>
      <c r="M14" s="560">
        <f t="shared" si="10"/>
        <v>0</v>
      </c>
      <c r="N14" s="563">
        <f t="shared" si="10"/>
        <v>0</v>
      </c>
      <c r="O14" s="561">
        <f t="shared" si="10"/>
        <v>36740</v>
      </c>
      <c r="P14" s="560">
        <f t="shared" si="10"/>
        <v>36740</v>
      </c>
      <c r="Q14" s="563">
        <f t="shared" si="9"/>
        <v>0</v>
      </c>
      <c r="R14" s="561">
        <f t="shared" si="9"/>
        <v>0</v>
      </c>
      <c r="S14" s="560">
        <f t="shared" si="9"/>
        <v>0</v>
      </c>
      <c r="T14" s="573">
        <f>SUM(T4:T13)</f>
        <v>32962</v>
      </c>
      <c r="U14" s="574">
        <f>SUM(U4:U13)</f>
        <v>962763.05327999976</v>
      </c>
      <c r="V14" s="575">
        <f>SUM(V4:V13)</f>
        <v>929801.05327999976</v>
      </c>
    </row>
    <row r="15" spans="1:23" ht="15" thickBot="1" x14ac:dyDescent="0.35">
      <c r="A15" s="572" t="s">
        <v>150</v>
      </c>
      <c r="B15" s="571"/>
      <c r="C15" s="569"/>
      <c r="D15" s="567">
        <f>D4+NPV(Faktory!$D$5,D5:D13)</f>
        <v>508406.9851860854</v>
      </c>
      <c r="E15" s="571"/>
      <c r="F15" s="569"/>
      <c r="G15" s="567">
        <f>G4+NPV(Faktory!$D$5,G5:G13)</f>
        <v>51672.46458911529</v>
      </c>
      <c r="H15" s="571"/>
      <c r="I15" s="569"/>
      <c r="J15" s="567">
        <f>J4+NPV(Faktory!$D$5,J5:J13)</f>
        <v>259979.01209392483</v>
      </c>
      <c r="K15" s="571"/>
      <c r="L15" s="569"/>
      <c r="M15" s="567">
        <f>M4+NPV(Faktory!$D$5,M5:M13)</f>
        <v>0</v>
      </c>
      <c r="N15" s="571"/>
      <c r="O15" s="569"/>
      <c r="P15" s="567">
        <f>P4+NPV(Faktory!$D$5,P5:P13)</f>
        <v>36740</v>
      </c>
      <c r="Q15" s="571"/>
      <c r="R15" s="569"/>
      <c r="S15" s="567">
        <f>S4+NPV(Faktory!$D$5,S5:S13)</f>
        <v>0</v>
      </c>
      <c r="T15" s="576"/>
      <c r="U15" s="577"/>
      <c r="V15" s="578">
        <f>V4+NPV(Faktory!$D$5,V5:V13)</f>
        <v>856798.4618691256</v>
      </c>
    </row>
    <row r="16" spans="1:23" x14ac:dyDescent="0.3">
      <c r="A16" s="146"/>
      <c r="B16" s="146"/>
      <c r="C16" s="146"/>
      <c r="D16" s="157"/>
      <c r="E16" s="146"/>
      <c r="F16" s="146"/>
      <c r="G16" s="157"/>
      <c r="H16" s="146"/>
      <c r="I16" s="146"/>
      <c r="J16" s="157"/>
      <c r="K16" s="157"/>
      <c r="L16" s="157"/>
      <c r="M16" s="157"/>
      <c r="N16" s="157"/>
      <c r="O16" s="157"/>
      <c r="P16" s="157"/>
      <c r="Q16" s="146"/>
      <c r="R16" s="146"/>
      <c r="S16" s="157"/>
      <c r="T16" s="178"/>
      <c r="U16" s="178"/>
      <c r="V16" s="178"/>
    </row>
    <row r="17" spans="1:2" x14ac:dyDescent="0.3">
      <c r="A17" s="107"/>
      <c r="B17" s="108" t="s">
        <v>164</v>
      </c>
    </row>
    <row r="22" spans="1:2" x14ac:dyDescent="0.3">
      <c r="B22" s="179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S136"/>
  <sheetViews>
    <sheetView view="pageBreakPreview" topLeftCell="C1" zoomScale="80" zoomScaleNormal="80" zoomScaleSheetLayoutView="80" workbookViewId="0">
      <selection activeCell="S15" sqref="S15"/>
    </sheetView>
  </sheetViews>
  <sheetFormatPr defaultColWidth="9.109375" defaultRowHeight="14.4" x14ac:dyDescent="0.3"/>
  <cols>
    <col min="1" max="1" width="19.109375" style="393" customWidth="1"/>
    <col min="2" max="2" width="9.88671875" style="393" bestFit="1" customWidth="1"/>
    <col min="3" max="3" width="8.88671875" style="393" bestFit="1" customWidth="1"/>
    <col min="4" max="4" width="14.44140625" style="393" bestFit="1" customWidth="1"/>
    <col min="5" max="5" width="15.6640625" style="393" bestFit="1" customWidth="1"/>
    <col min="6" max="6" width="14.44140625" style="393" bestFit="1" customWidth="1"/>
    <col min="7" max="7" width="14.44140625" style="439" bestFit="1" customWidth="1"/>
    <col min="8" max="8" width="14.6640625" style="496" customWidth="1"/>
    <col min="9" max="9" width="14.44140625" style="439" bestFit="1" customWidth="1"/>
    <col min="10" max="10" width="5.77734375" style="393" bestFit="1" customWidth="1"/>
    <col min="11" max="11" width="6.6640625" style="393" bestFit="1" customWidth="1"/>
    <col min="12" max="12" width="7.6640625" style="393" bestFit="1" customWidth="1"/>
    <col min="13" max="13" width="6.44140625" style="497" customWidth="1"/>
    <col min="14" max="14" width="6.6640625" style="496" bestFit="1" customWidth="1"/>
    <col min="15" max="15" width="7.6640625" style="439" bestFit="1" customWidth="1"/>
    <col min="16" max="16" width="5.77734375" style="497" bestFit="1" customWidth="1"/>
    <col min="17" max="17" width="6.6640625" style="496" bestFit="1" customWidth="1"/>
    <col min="18" max="18" width="7.6640625" style="439" bestFit="1" customWidth="1"/>
    <col min="19" max="19" width="90.21875" style="474" customWidth="1"/>
    <col min="20" max="22" width="9.109375" style="393"/>
    <col min="23" max="23" width="12.44140625" style="393" bestFit="1" customWidth="1"/>
    <col min="24" max="258" width="9.109375" style="393"/>
    <col min="259" max="259" width="1.6640625" style="393" customWidth="1"/>
    <col min="260" max="260" width="19.109375" style="393" customWidth="1"/>
    <col min="261" max="261" width="35.109375" style="393" customWidth="1"/>
    <col min="262" max="262" width="9.88671875" style="393" bestFit="1" customWidth="1"/>
    <col min="263" max="263" width="8.88671875" style="393" bestFit="1" customWidth="1"/>
    <col min="264" max="274" width="10.33203125" style="393" customWidth="1"/>
    <col min="275" max="514" width="9.109375" style="393"/>
    <col min="515" max="515" width="1.6640625" style="393" customWidth="1"/>
    <col min="516" max="516" width="19.109375" style="393" customWidth="1"/>
    <col min="517" max="517" width="35.109375" style="393" customWidth="1"/>
    <col min="518" max="518" width="9.88671875" style="393" bestFit="1" customWidth="1"/>
    <col min="519" max="519" width="8.88671875" style="393" bestFit="1" customWidth="1"/>
    <col min="520" max="530" width="10.33203125" style="393" customWidth="1"/>
    <col min="531" max="770" width="9.109375" style="393"/>
    <col min="771" max="771" width="1.6640625" style="393" customWidth="1"/>
    <col min="772" max="772" width="19.109375" style="393" customWidth="1"/>
    <col min="773" max="773" width="35.109375" style="393" customWidth="1"/>
    <col min="774" max="774" width="9.88671875" style="393" bestFit="1" customWidth="1"/>
    <col min="775" max="775" width="8.88671875" style="393" bestFit="1" customWidth="1"/>
    <col min="776" max="786" width="10.33203125" style="393" customWidth="1"/>
    <col min="787" max="1026" width="9.109375" style="393"/>
    <col min="1027" max="1027" width="1.6640625" style="393" customWidth="1"/>
    <col min="1028" max="1028" width="19.109375" style="393" customWidth="1"/>
    <col min="1029" max="1029" width="35.109375" style="393" customWidth="1"/>
    <col min="1030" max="1030" width="9.88671875" style="393" bestFit="1" customWidth="1"/>
    <col min="1031" max="1031" width="8.88671875" style="393" bestFit="1" customWidth="1"/>
    <col min="1032" max="1042" width="10.33203125" style="393" customWidth="1"/>
    <col min="1043" max="1282" width="9.109375" style="393"/>
    <col min="1283" max="1283" width="1.6640625" style="393" customWidth="1"/>
    <col min="1284" max="1284" width="19.109375" style="393" customWidth="1"/>
    <col min="1285" max="1285" width="35.109375" style="393" customWidth="1"/>
    <col min="1286" max="1286" width="9.88671875" style="393" bestFit="1" customWidth="1"/>
    <col min="1287" max="1287" width="8.88671875" style="393" bestFit="1" customWidth="1"/>
    <col min="1288" max="1298" width="10.33203125" style="393" customWidth="1"/>
    <col min="1299" max="1538" width="9.109375" style="393"/>
    <col min="1539" max="1539" width="1.6640625" style="393" customWidth="1"/>
    <col min="1540" max="1540" width="19.109375" style="393" customWidth="1"/>
    <col min="1541" max="1541" width="35.109375" style="393" customWidth="1"/>
    <col min="1542" max="1542" width="9.88671875" style="393" bestFit="1" customWidth="1"/>
    <col min="1543" max="1543" width="8.88671875" style="393" bestFit="1" customWidth="1"/>
    <col min="1544" max="1554" width="10.33203125" style="393" customWidth="1"/>
    <col min="1555" max="1794" width="9.109375" style="393"/>
    <col min="1795" max="1795" width="1.6640625" style="393" customWidth="1"/>
    <col min="1796" max="1796" width="19.109375" style="393" customWidth="1"/>
    <col min="1797" max="1797" width="35.109375" style="393" customWidth="1"/>
    <col min="1798" max="1798" width="9.88671875" style="393" bestFit="1" customWidth="1"/>
    <col min="1799" max="1799" width="8.88671875" style="393" bestFit="1" customWidth="1"/>
    <col min="1800" max="1810" width="10.33203125" style="393" customWidth="1"/>
    <col min="1811" max="2050" width="9.109375" style="393"/>
    <col min="2051" max="2051" width="1.6640625" style="393" customWidth="1"/>
    <col min="2052" max="2052" width="19.109375" style="393" customWidth="1"/>
    <col min="2053" max="2053" width="35.109375" style="393" customWidth="1"/>
    <col min="2054" max="2054" width="9.88671875" style="393" bestFit="1" customWidth="1"/>
    <col min="2055" max="2055" width="8.88671875" style="393" bestFit="1" customWidth="1"/>
    <col min="2056" max="2066" width="10.33203125" style="393" customWidth="1"/>
    <col min="2067" max="2306" width="9.109375" style="393"/>
    <col min="2307" max="2307" width="1.6640625" style="393" customWidth="1"/>
    <col min="2308" max="2308" width="19.109375" style="393" customWidth="1"/>
    <col min="2309" max="2309" width="35.109375" style="393" customWidth="1"/>
    <col min="2310" max="2310" width="9.88671875" style="393" bestFit="1" customWidth="1"/>
    <col min="2311" max="2311" width="8.88671875" style="393" bestFit="1" customWidth="1"/>
    <col min="2312" max="2322" width="10.33203125" style="393" customWidth="1"/>
    <col min="2323" max="2562" width="9.109375" style="393"/>
    <col min="2563" max="2563" width="1.6640625" style="393" customWidth="1"/>
    <col min="2564" max="2564" width="19.109375" style="393" customWidth="1"/>
    <col min="2565" max="2565" width="35.109375" style="393" customWidth="1"/>
    <col min="2566" max="2566" width="9.88671875" style="393" bestFit="1" customWidth="1"/>
    <col min="2567" max="2567" width="8.88671875" style="393" bestFit="1" customWidth="1"/>
    <col min="2568" max="2578" width="10.33203125" style="393" customWidth="1"/>
    <col min="2579" max="2818" width="9.109375" style="393"/>
    <col min="2819" max="2819" width="1.6640625" style="393" customWidth="1"/>
    <col min="2820" max="2820" width="19.109375" style="393" customWidth="1"/>
    <col min="2821" max="2821" width="35.109375" style="393" customWidth="1"/>
    <col min="2822" max="2822" width="9.88671875" style="393" bestFit="1" customWidth="1"/>
    <col min="2823" max="2823" width="8.88671875" style="393" bestFit="1" customWidth="1"/>
    <col min="2824" max="2834" width="10.33203125" style="393" customWidth="1"/>
    <col min="2835" max="3074" width="9.109375" style="393"/>
    <col min="3075" max="3075" width="1.6640625" style="393" customWidth="1"/>
    <col min="3076" max="3076" width="19.109375" style="393" customWidth="1"/>
    <col min="3077" max="3077" width="35.109375" style="393" customWidth="1"/>
    <col min="3078" max="3078" width="9.88671875" style="393" bestFit="1" customWidth="1"/>
    <col min="3079" max="3079" width="8.88671875" style="393" bestFit="1" customWidth="1"/>
    <col min="3080" max="3090" width="10.33203125" style="393" customWidth="1"/>
    <col min="3091" max="3330" width="9.109375" style="393"/>
    <col min="3331" max="3331" width="1.6640625" style="393" customWidth="1"/>
    <col min="3332" max="3332" width="19.109375" style="393" customWidth="1"/>
    <col min="3333" max="3333" width="35.109375" style="393" customWidth="1"/>
    <col min="3334" max="3334" width="9.88671875" style="393" bestFit="1" customWidth="1"/>
    <col min="3335" max="3335" width="8.88671875" style="393" bestFit="1" customWidth="1"/>
    <col min="3336" max="3346" width="10.33203125" style="393" customWidth="1"/>
    <col min="3347" max="3586" width="9.109375" style="393"/>
    <col min="3587" max="3587" width="1.6640625" style="393" customWidth="1"/>
    <col min="3588" max="3588" width="19.109375" style="393" customWidth="1"/>
    <col min="3589" max="3589" width="35.109375" style="393" customWidth="1"/>
    <col min="3590" max="3590" width="9.88671875" style="393" bestFit="1" customWidth="1"/>
    <col min="3591" max="3591" width="8.88671875" style="393" bestFit="1" customWidth="1"/>
    <col min="3592" max="3602" width="10.33203125" style="393" customWidth="1"/>
    <col min="3603" max="3842" width="9.109375" style="393"/>
    <col min="3843" max="3843" width="1.6640625" style="393" customWidth="1"/>
    <col min="3844" max="3844" width="19.109375" style="393" customWidth="1"/>
    <col min="3845" max="3845" width="35.109375" style="393" customWidth="1"/>
    <col min="3846" max="3846" width="9.88671875" style="393" bestFit="1" customWidth="1"/>
    <col min="3847" max="3847" width="8.88671875" style="393" bestFit="1" customWidth="1"/>
    <col min="3848" max="3858" width="10.33203125" style="393" customWidth="1"/>
    <col min="3859" max="4098" width="9.109375" style="393"/>
    <col min="4099" max="4099" width="1.6640625" style="393" customWidth="1"/>
    <col min="4100" max="4100" width="19.109375" style="393" customWidth="1"/>
    <col min="4101" max="4101" width="35.109375" style="393" customWidth="1"/>
    <col min="4102" max="4102" width="9.88671875" style="393" bestFit="1" customWidth="1"/>
    <col min="4103" max="4103" width="8.88671875" style="393" bestFit="1" customWidth="1"/>
    <col min="4104" max="4114" width="10.33203125" style="393" customWidth="1"/>
    <col min="4115" max="4354" width="9.109375" style="393"/>
    <col min="4355" max="4355" width="1.6640625" style="393" customWidth="1"/>
    <col min="4356" max="4356" width="19.109375" style="393" customWidth="1"/>
    <col min="4357" max="4357" width="35.109375" style="393" customWidth="1"/>
    <col min="4358" max="4358" width="9.88671875" style="393" bestFit="1" customWidth="1"/>
    <col min="4359" max="4359" width="8.88671875" style="393" bestFit="1" customWidth="1"/>
    <col min="4360" max="4370" width="10.33203125" style="393" customWidth="1"/>
    <col min="4371" max="4610" width="9.109375" style="393"/>
    <col min="4611" max="4611" width="1.6640625" style="393" customWidth="1"/>
    <col min="4612" max="4612" width="19.109375" style="393" customWidth="1"/>
    <col min="4613" max="4613" width="35.109375" style="393" customWidth="1"/>
    <col min="4614" max="4614" width="9.88671875" style="393" bestFit="1" customWidth="1"/>
    <col min="4615" max="4615" width="8.88671875" style="393" bestFit="1" customWidth="1"/>
    <col min="4616" max="4626" width="10.33203125" style="393" customWidth="1"/>
    <col min="4627" max="4866" width="9.109375" style="393"/>
    <col min="4867" max="4867" width="1.6640625" style="393" customWidth="1"/>
    <col min="4868" max="4868" width="19.109375" style="393" customWidth="1"/>
    <col min="4869" max="4869" width="35.109375" style="393" customWidth="1"/>
    <col min="4870" max="4870" width="9.88671875" style="393" bestFit="1" customWidth="1"/>
    <col min="4871" max="4871" width="8.88671875" style="393" bestFit="1" customWidth="1"/>
    <col min="4872" max="4882" width="10.33203125" style="393" customWidth="1"/>
    <col min="4883" max="5122" width="9.109375" style="393"/>
    <col min="5123" max="5123" width="1.6640625" style="393" customWidth="1"/>
    <col min="5124" max="5124" width="19.109375" style="393" customWidth="1"/>
    <col min="5125" max="5125" width="35.109375" style="393" customWidth="1"/>
    <col min="5126" max="5126" width="9.88671875" style="393" bestFit="1" customWidth="1"/>
    <col min="5127" max="5127" width="8.88671875" style="393" bestFit="1" customWidth="1"/>
    <col min="5128" max="5138" width="10.33203125" style="393" customWidth="1"/>
    <col min="5139" max="5378" width="9.109375" style="393"/>
    <col min="5379" max="5379" width="1.6640625" style="393" customWidth="1"/>
    <col min="5380" max="5380" width="19.109375" style="393" customWidth="1"/>
    <col min="5381" max="5381" width="35.109375" style="393" customWidth="1"/>
    <col min="5382" max="5382" width="9.88671875" style="393" bestFit="1" customWidth="1"/>
    <col min="5383" max="5383" width="8.88671875" style="393" bestFit="1" customWidth="1"/>
    <col min="5384" max="5394" width="10.33203125" style="393" customWidth="1"/>
    <col min="5395" max="5634" width="9.109375" style="393"/>
    <col min="5635" max="5635" width="1.6640625" style="393" customWidth="1"/>
    <col min="5636" max="5636" width="19.109375" style="393" customWidth="1"/>
    <col min="5637" max="5637" width="35.109375" style="393" customWidth="1"/>
    <col min="5638" max="5638" width="9.88671875" style="393" bestFit="1" customWidth="1"/>
    <col min="5639" max="5639" width="8.88671875" style="393" bestFit="1" customWidth="1"/>
    <col min="5640" max="5650" width="10.33203125" style="393" customWidth="1"/>
    <col min="5651" max="5890" width="9.109375" style="393"/>
    <col min="5891" max="5891" width="1.6640625" style="393" customWidth="1"/>
    <col min="5892" max="5892" width="19.109375" style="393" customWidth="1"/>
    <col min="5893" max="5893" width="35.109375" style="393" customWidth="1"/>
    <col min="5894" max="5894" width="9.88671875" style="393" bestFit="1" customWidth="1"/>
    <col min="5895" max="5895" width="8.88671875" style="393" bestFit="1" customWidth="1"/>
    <col min="5896" max="5906" width="10.33203125" style="393" customWidth="1"/>
    <col min="5907" max="6146" width="9.109375" style="393"/>
    <col min="6147" max="6147" width="1.6640625" style="393" customWidth="1"/>
    <col min="6148" max="6148" width="19.109375" style="393" customWidth="1"/>
    <col min="6149" max="6149" width="35.109375" style="393" customWidth="1"/>
    <col min="6150" max="6150" width="9.88671875" style="393" bestFit="1" customWidth="1"/>
    <col min="6151" max="6151" width="8.88671875" style="393" bestFit="1" customWidth="1"/>
    <col min="6152" max="6162" width="10.33203125" style="393" customWidth="1"/>
    <col min="6163" max="6402" width="9.109375" style="393"/>
    <col min="6403" max="6403" width="1.6640625" style="393" customWidth="1"/>
    <col min="6404" max="6404" width="19.109375" style="393" customWidth="1"/>
    <col min="6405" max="6405" width="35.109375" style="393" customWidth="1"/>
    <col min="6406" max="6406" width="9.88671875" style="393" bestFit="1" customWidth="1"/>
    <col min="6407" max="6407" width="8.88671875" style="393" bestFit="1" customWidth="1"/>
    <col min="6408" max="6418" width="10.33203125" style="393" customWidth="1"/>
    <col min="6419" max="6658" width="9.109375" style="393"/>
    <col min="6659" max="6659" width="1.6640625" style="393" customWidth="1"/>
    <col min="6660" max="6660" width="19.109375" style="393" customWidth="1"/>
    <col min="6661" max="6661" width="35.109375" style="393" customWidth="1"/>
    <col min="6662" max="6662" width="9.88671875" style="393" bestFit="1" customWidth="1"/>
    <col min="6663" max="6663" width="8.88671875" style="393" bestFit="1" customWidth="1"/>
    <col min="6664" max="6674" width="10.33203125" style="393" customWidth="1"/>
    <col min="6675" max="6914" width="9.109375" style="393"/>
    <col min="6915" max="6915" width="1.6640625" style="393" customWidth="1"/>
    <col min="6916" max="6916" width="19.109375" style="393" customWidth="1"/>
    <col min="6917" max="6917" width="35.109375" style="393" customWidth="1"/>
    <col min="6918" max="6918" width="9.88671875" style="393" bestFit="1" customWidth="1"/>
    <col min="6919" max="6919" width="8.88671875" style="393" bestFit="1" customWidth="1"/>
    <col min="6920" max="6930" width="10.33203125" style="393" customWidth="1"/>
    <col min="6931" max="7170" width="9.109375" style="393"/>
    <col min="7171" max="7171" width="1.6640625" style="393" customWidth="1"/>
    <col min="7172" max="7172" width="19.109375" style="393" customWidth="1"/>
    <col min="7173" max="7173" width="35.109375" style="393" customWidth="1"/>
    <col min="7174" max="7174" width="9.88671875" style="393" bestFit="1" customWidth="1"/>
    <col min="7175" max="7175" width="8.88671875" style="393" bestFit="1" customWidth="1"/>
    <col min="7176" max="7186" width="10.33203125" style="393" customWidth="1"/>
    <col min="7187" max="7426" width="9.109375" style="393"/>
    <col min="7427" max="7427" width="1.6640625" style="393" customWidth="1"/>
    <col min="7428" max="7428" width="19.109375" style="393" customWidth="1"/>
    <col min="7429" max="7429" width="35.109375" style="393" customWidth="1"/>
    <col min="7430" max="7430" width="9.88671875" style="393" bestFit="1" customWidth="1"/>
    <col min="7431" max="7431" width="8.88671875" style="393" bestFit="1" customWidth="1"/>
    <col min="7432" max="7442" width="10.33203125" style="393" customWidth="1"/>
    <col min="7443" max="7682" width="9.109375" style="393"/>
    <col min="7683" max="7683" width="1.6640625" style="393" customWidth="1"/>
    <col min="7684" max="7684" width="19.109375" style="393" customWidth="1"/>
    <col min="7685" max="7685" width="35.109375" style="393" customWidth="1"/>
    <col min="7686" max="7686" width="9.88671875" style="393" bestFit="1" customWidth="1"/>
    <col min="7687" max="7687" width="8.88671875" style="393" bestFit="1" customWidth="1"/>
    <col min="7688" max="7698" width="10.33203125" style="393" customWidth="1"/>
    <col min="7699" max="7938" width="9.109375" style="393"/>
    <col min="7939" max="7939" width="1.6640625" style="393" customWidth="1"/>
    <col min="7940" max="7940" width="19.109375" style="393" customWidth="1"/>
    <col min="7941" max="7941" width="35.109375" style="393" customWidth="1"/>
    <col min="7942" max="7942" width="9.88671875" style="393" bestFit="1" customWidth="1"/>
    <col min="7943" max="7943" width="8.88671875" style="393" bestFit="1" customWidth="1"/>
    <col min="7944" max="7954" width="10.33203125" style="393" customWidth="1"/>
    <col min="7955" max="8194" width="9.109375" style="393"/>
    <col min="8195" max="8195" width="1.6640625" style="393" customWidth="1"/>
    <col min="8196" max="8196" width="19.109375" style="393" customWidth="1"/>
    <col min="8197" max="8197" width="35.109375" style="393" customWidth="1"/>
    <col min="8198" max="8198" width="9.88671875" style="393" bestFit="1" customWidth="1"/>
    <col min="8199" max="8199" width="8.88671875" style="393" bestFit="1" customWidth="1"/>
    <col min="8200" max="8210" width="10.33203125" style="393" customWidth="1"/>
    <col min="8211" max="8450" width="9.109375" style="393"/>
    <col min="8451" max="8451" width="1.6640625" style="393" customWidth="1"/>
    <col min="8452" max="8452" width="19.109375" style="393" customWidth="1"/>
    <col min="8453" max="8453" width="35.109375" style="393" customWidth="1"/>
    <col min="8454" max="8454" width="9.88671875" style="393" bestFit="1" customWidth="1"/>
    <col min="8455" max="8455" width="8.88671875" style="393" bestFit="1" customWidth="1"/>
    <col min="8456" max="8466" width="10.33203125" style="393" customWidth="1"/>
    <col min="8467" max="8706" width="9.109375" style="393"/>
    <col min="8707" max="8707" width="1.6640625" style="393" customWidth="1"/>
    <col min="8708" max="8708" width="19.109375" style="393" customWidth="1"/>
    <col min="8709" max="8709" width="35.109375" style="393" customWidth="1"/>
    <col min="8710" max="8710" width="9.88671875" style="393" bestFit="1" customWidth="1"/>
    <col min="8711" max="8711" width="8.88671875" style="393" bestFit="1" customWidth="1"/>
    <col min="8712" max="8722" width="10.33203125" style="393" customWidth="1"/>
    <col min="8723" max="8962" width="9.109375" style="393"/>
    <col min="8963" max="8963" width="1.6640625" style="393" customWidth="1"/>
    <col min="8964" max="8964" width="19.109375" style="393" customWidth="1"/>
    <col min="8965" max="8965" width="35.109375" style="393" customWidth="1"/>
    <col min="8966" max="8966" width="9.88671875" style="393" bestFit="1" customWidth="1"/>
    <col min="8967" max="8967" width="8.88671875" style="393" bestFit="1" customWidth="1"/>
    <col min="8968" max="8978" width="10.33203125" style="393" customWidth="1"/>
    <col min="8979" max="9218" width="9.109375" style="393"/>
    <col min="9219" max="9219" width="1.6640625" style="393" customWidth="1"/>
    <col min="9220" max="9220" width="19.109375" style="393" customWidth="1"/>
    <col min="9221" max="9221" width="35.109375" style="393" customWidth="1"/>
    <col min="9222" max="9222" width="9.88671875" style="393" bestFit="1" customWidth="1"/>
    <col min="9223" max="9223" width="8.88671875" style="393" bestFit="1" customWidth="1"/>
    <col min="9224" max="9234" width="10.33203125" style="393" customWidth="1"/>
    <col min="9235" max="9474" width="9.109375" style="393"/>
    <col min="9475" max="9475" width="1.6640625" style="393" customWidth="1"/>
    <col min="9476" max="9476" width="19.109375" style="393" customWidth="1"/>
    <col min="9477" max="9477" width="35.109375" style="393" customWidth="1"/>
    <col min="9478" max="9478" width="9.88671875" style="393" bestFit="1" customWidth="1"/>
    <col min="9479" max="9479" width="8.88671875" style="393" bestFit="1" customWidth="1"/>
    <col min="9480" max="9490" width="10.33203125" style="393" customWidth="1"/>
    <col min="9491" max="9730" width="9.109375" style="393"/>
    <col min="9731" max="9731" width="1.6640625" style="393" customWidth="1"/>
    <col min="9732" max="9732" width="19.109375" style="393" customWidth="1"/>
    <col min="9733" max="9733" width="35.109375" style="393" customWidth="1"/>
    <col min="9734" max="9734" width="9.88671875" style="393" bestFit="1" customWidth="1"/>
    <col min="9735" max="9735" width="8.88671875" style="393" bestFit="1" customWidth="1"/>
    <col min="9736" max="9746" width="10.33203125" style="393" customWidth="1"/>
    <col min="9747" max="9986" width="9.109375" style="393"/>
    <col min="9987" max="9987" width="1.6640625" style="393" customWidth="1"/>
    <col min="9988" max="9988" width="19.109375" style="393" customWidth="1"/>
    <col min="9989" max="9989" width="35.109375" style="393" customWidth="1"/>
    <col min="9990" max="9990" width="9.88671875" style="393" bestFit="1" customWidth="1"/>
    <col min="9991" max="9991" width="8.88671875" style="393" bestFit="1" customWidth="1"/>
    <col min="9992" max="10002" width="10.33203125" style="393" customWidth="1"/>
    <col min="10003" max="10242" width="9.109375" style="393"/>
    <col min="10243" max="10243" width="1.6640625" style="393" customWidth="1"/>
    <col min="10244" max="10244" width="19.109375" style="393" customWidth="1"/>
    <col min="10245" max="10245" width="35.109375" style="393" customWidth="1"/>
    <col min="10246" max="10246" width="9.88671875" style="393" bestFit="1" customWidth="1"/>
    <col min="10247" max="10247" width="8.88671875" style="393" bestFit="1" customWidth="1"/>
    <col min="10248" max="10258" width="10.33203125" style="393" customWidth="1"/>
    <col min="10259" max="10498" width="9.109375" style="393"/>
    <col min="10499" max="10499" width="1.6640625" style="393" customWidth="1"/>
    <col min="10500" max="10500" width="19.109375" style="393" customWidth="1"/>
    <col min="10501" max="10501" width="35.109375" style="393" customWidth="1"/>
    <col min="10502" max="10502" width="9.88671875" style="393" bestFit="1" customWidth="1"/>
    <col min="10503" max="10503" width="8.88671875" style="393" bestFit="1" customWidth="1"/>
    <col min="10504" max="10514" width="10.33203125" style="393" customWidth="1"/>
    <col min="10515" max="10754" width="9.109375" style="393"/>
    <col min="10755" max="10755" width="1.6640625" style="393" customWidth="1"/>
    <col min="10756" max="10756" width="19.109375" style="393" customWidth="1"/>
    <col min="10757" max="10757" width="35.109375" style="393" customWidth="1"/>
    <col min="10758" max="10758" width="9.88671875" style="393" bestFit="1" customWidth="1"/>
    <col min="10759" max="10759" width="8.88671875" style="393" bestFit="1" customWidth="1"/>
    <col min="10760" max="10770" width="10.33203125" style="393" customWidth="1"/>
    <col min="10771" max="11010" width="9.109375" style="393"/>
    <col min="11011" max="11011" width="1.6640625" style="393" customWidth="1"/>
    <col min="11012" max="11012" width="19.109375" style="393" customWidth="1"/>
    <col min="11013" max="11013" width="35.109375" style="393" customWidth="1"/>
    <col min="11014" max="11014" width="9.88671875" style="393" bestFit="1" customWidth="1"/>
    <col min="11015" max="11015" width="8.88671875" style="393" bestFit="1" customWidth="1"/>
    <col min="11016" max="11026" width="10.33203125" style="393" customWidth="1"/>
    <col min="11027" max="11266" width="9.109375" style="393"/>
    <col min="11267" max="11267" width="1.6640625" style="393" customWidth="1"/>
    <col min="11268" max="11268" width="19.109375" style="393" customWidth="1"/>
    <col min="11269" max="11269" width="35.109375" style="393" customWidth="1"/>
    <col min="11270" max="11270" width="9.88671875" style="393" bestFit="1" customWidth="1"/>
    <col min="11271" max="11271" width="8.88671875" style="393" bestFit="1" customWidth="1"/>
    <col min="11272" max="11282" width="10.33203125" style="393" customWidth="1"/>
    <col min="11283" max="11522" width="9.109375" style="393"/>
    <col min="11523" max="11523" width="1.6640625" style="393" customWidth="1"/>
    <col min="11524" max="11524" width="19.109375" style="393" customWidth="1"/>
    <col min="11525" max="11525" width="35.109375" style="393" customWidth="1"/>
    <col min="11526" max="11526" width="9.88671875" style="393" bestFit="1" customWidth="1"/>
    <col min="11527" max="11527" width="8.88671875" style="393" bestFit="1" customWidth="1"/>
    <col min="11528" max="11538" width="10.33203125" style="393" customWidth="1"/>
    <col min="11539" max="11778" width="9.109375" style="393"/>
    <col min="11779" max="11779" width="1.6640625" style="393" customWidth="1"/>
    <col min="11780" max="11780" width="19.109375" style="393" customWidth="1"/>
    <col min="11781" max="11781" width="35.109375" style="393" customWidth="1"/>
    <col min="11782" max="11782" width="9.88671875" style="393" bestFit="1" customWidth="1"/>
    <col min="11783" max="11783" width="8.88671875" style="393" bestFit="1" customWidth="1"/>
    <col min="11784" max="11794" width="10.33203125" style="393" customWidth="1"/>
    <col min="11795" max="12034" width="9.109375" style="393"/>
    <col min="12035" max="12035" width="1.6640625" style="393" customWidth="1"/>
    <col min="12036" max="12036" width="19.109375" style="393" customWidth="1"/>
    <col min="12037" max="12037" width="35.109375" style="393" customWidth="1"/>
    <col min="12038" max="12038" width="9.88671875" style="393" bestFit="1" customWidth="1"/>
    <col min="12039" max="12039" width="8.88671875" style="393" bestFit="1" customWidth="1"/>
    <col min="12040" max="12050" width="10.33203125" style="393" customWidth="1"/>
    <col min="12051" max="12290" width="9.109375" style="393"/>
    <col min="12291" max="12291" width="1.6640625" style="393" customWidth="1"/>
    <col min="12292" max="12292" width="19.109375" style="393" customWidth="1"/>
    <col min="12293" max="12293" width="35.109375" style="393" customWidth="1"/>
    <col min="12294" max="12294" width="9.88671875" style="393" bestFit="1" customWidth="1"/>
    <col min="12295" max="12295" width="8.88671875" style="393" bestFit="1" customWidth="1"/>
    <col min="12296" max="12306" width="10.33203125" style="393" customWidth="1"/>
    <col min="12307" max="12546" width="9.109375" style="393"/>
    <col min="12547" max="12547" width="1.6640625" style="393" customWidth="1"/>
    <col min="12548" max="12548" width="19.109375" style="393" customWidth="1"/>
    <col min="12549" max="12549" width="35.109375" style="393" customWidth="1"/>
    <col min="12550" max="12550" width="9.88671875" style="393" bestFit="1" customWidth="1"/>
    <col min="12551" max="12551" width="8.88671875" style="393" bestFit="1" customWidth="1"/>
    <col min="12552" max="12562" width="10.33203125" style="393" customWidth="1"/>
    <col min="12563" max="12802" width="9.109375" style="393"/>
    <col min="12803" max="12803" width="1.6640625" style="393" customWidth="1"/>
    <col min="12804" max="12804" width="19.109375" style="393" customWidth="1"/>
    <col min="12805" max="12805" width="35.109375" style="393" customWidth="1"/>
    <col min="12806" max="12806" width="9.88671875" style="393" bestFit="1" customWidth="1"/>
    <col min="12807" max="12807" width="8.88671875" style="393" bestFit="1" customWidth="1"/>
    <col min="12808" max="12818" width="10.33203125" style="393" customWidth="1"/>
    <col min="12819" max="13058" width="9.109375" style="393"/>
    <col min="13059" max="13059" width="1.6640625" style="393" customWidth="1"/>
    <col min="13060" max="13060" width="19.109375" style="393" customWidth="1"/>
    <col min="13061" max="13061" width="35.109375" style="393" customWidth="1"/>
    <col min="13062" max="13062" width="9.88671875" style="393" bestFit="1" customWidth="1"/>
    <col min="13063" max="13063" width="8.88671875" style="393" bestFit="1" customWidth="1"/>
    <col min="13064" max="13074" width="10.33203125" style="393" customWidth="1"/>
    <col min="13075" max="13314" width="9.109375" style="393"/>
    <col min="13315" max="13315" width="1.6640625" style="393" customWidth="1"/>
    <col min="13316" max="13316" width="19.109375" style="393" customWidth="1"/>
    <col min="13317" max="13317" width="35.109375" style="393" customWidth="1"/>
    <col min="13318" max="13318" width="9.88671875" style="393" bestFit="1" customWidth="1"/>
    <col min="13319" max="13319" width="8.88671875" style="393" bestFit="1" customWidth="1"/>
    <col min="13320" max="13330" width="10.33203125" style="393" customWidth="1"/>
    <col min="13331" max="13570" width="9.109375" style="393"/>
    <col min="13571" max="13571" width="1.6640625" style="393" customWidth="1"/>
    <col min="13572" max="13572" width="19.109375" style="393" customWidth="1"/>
    <col min="13573" max="13573" width="35.109375" style="393" customWidth="1"/>
    <col min="13574" max="13574" width="9.88671875" style="393" bestFit="1" customWidth="1"/>
    <col min="13575" max="13575" width="8.88671875" style="393" bestFit="1" customWidth="1"/>
    <col min="13576" max="13586" width="10.33203125" style="393" customWidth="1"/>
    <col min="13587" max="13826" width="9.109375" style="393"/>
    <col min="13827" max="13827" width="1.6640625" style="393" customWidth="1"/>
    <col min="13828" max="13828" width="19.109375" style="393" customWidth="1"/>
    <col min="13829" max="13829" width="35.109375" style="393" customWidth="1"/>
    <col min="13830" max="13830" width="9.88671875" style="393" bestFit="1" customWidth="1"/>
    <col min="13831" max="13831" width="8.88671875" style="393" bestFit="1" customWidth="1"/>
    <col min="13832" max="13842" width="10.33203125" style="393" customWidth="1"/>
    <col min="13843" max="14082" width="9.109375" style="393"/>
    <col min="14083" max="14083" width="1.6640625" style="393" customWidth="1"/>
    <col min="14084" max="14084" width="19.109375" style="393" customWidth="1"/>
    <col min="14085" max="14085" width="35.109375" style="393" customWidth="1"/>
    <col min="14086" max="14086" width="9.88671875" style="393" bestFit="1" customWidth="1"/>
    <col min="14087" max="14087" width="8.88671875" style="393" bestFit="1" customWidth="1"/>
    <col min="14088" max="14098" width="10.33203125" style="393" customWidth="1"/>
    <col min="14099" max="14338" width="9.109375" style="393"/>
    <col min="14339" max="14339" width="1.6640625" style="393" customWidth="1"/>
    <col min="14340" max="14340" width="19.109375" style="393" customWidth="1"/>
    <col min="14341" max="14341" width="35.109375" style="393" customWidth="1"/>
    <col min="14342" max="14342" width="9.88671875" style="393" bestFit="1" customWidth="1"/>
    <col min="14343" max="14343" width="8.88671875" style="393" bestFit="1" customWidth="1"/>
    <col min="14344" max="14354" width="10.33203125" style="393" customWidth="1"/>
    <col min="14355" max="14594" width="9.109375" style="393"/>
    <col min="14595" max="14595" width="1.6640625" style="393" customWidth="1"/>
    <col min="14596" max="14596" width="19.109375" style="393" customWidth="1"/>
    <col min="14597" max="14597" width="35.109375" style="393" customWidth="1"/>
    <col min="14598" max="14598" width="9.88671875" style="393" bestFit="1" customWidth="1"/>
    <col min="14599" max="14599" width="8.88671875" style="393" bestFit="1" customWidth="1"/>
    <col min="14600" max="14610" width="10.33203125" style="393" customWidth="1"/>
    <col min="14611" max="14850" width="9.109375" style="393"/>
    <col min="14851" max="14851" width="1.6640625" style="393" customWidth="1"/>
    <col min="14852" max="14852" width="19.109375" style="393" customWidth="1"/>
    <col min="14853" max="14853" width="35.109375" style="393" customWidth="1"/>
    <col min="14854" max="14854" width="9.88671875" style="393" bestFit="1" customWidth="1"/>
    <col min="14855" max="14855" width="8.88671875" style="393" bestFit="1" customWidth="1"/>
    <col min="14856" max="14866" width="10.33203125" style="393" customWidth="1"/>
    <col min="14867" max="15106" width="9.109375" style="393"/>
    <col min="15107" max="15107" width="1.6640625" style="393" customWidth="1"/>
    <col min="15108" max="15108" width="19.109375" style="393" customWidth="1"/>
    <col min="15109" max="15109" width="35.109375" style="393" customWidth="1"/>
    <col min="15110" max="15110" width="9.88671875" style="393" bestFit="1" customWidth="1"/>
    <col min="15111" max="15111" width="8.88671875" style="393" bestFit="1" customWidth="1"/>
    <col min="15112" max="15122" width="10.33203125" style="393" customWidth="1"/>
    <col min="15123" max="15362" width="9.109375" style="393"/>
    <col min="15363" max="15363" width="1.6640625" style="393" customWidth="1"/>
    <col min="15364" max="15364" width="19.109375" style="393" customWidth="1"/>
    <col min="15365" max="15365" width="35.109375" style="393" customWidth="1"/>
    <col min="15366" max="15366" width="9.88671875" style="393" bestFit="1" customWidth="1"/>
    <col min="15367" max="15367" width="8.88671875" style="393" bestFit="1" customWidth="1"/>
    <col min="15368" max="15378" width="10.33203125" style="393" customWidth="1"/>
    <col min="15379" max="15618" width="9.109375" style="393"/>
    <col min="15619" max="15619" width="1.6640625" style="393" customWidth="1"/>
    <col min="15620" max="15620" width="19.109375" style="393" customWidth="1"/>
    <col min="15621" max="15621" width="35.109375" style="393" customWidth="1"/>
    <col min="15622" max="15622" width="9.88671875" style="393" bestFit="1" customWidth="1"/>
    <col min="15623" max="15623" width="8.88671875" style="393" bestFit="1" customWidth="1"/>
    <col min="15624" max="15634" width="10.33203125" style="393" customWidth="1"/>
    <col min="15635" max="15874" width="9.109375" style="393"/>
    <col min="15875" max="15875" width="1.6640625" style="393" customWidth="1"/>
    <col min="15876" max="15876" width="19.109375" style="393" customWidth="1"/>
    <col min="15877" max="15877" width="35.109375" style="393" customWidth="1"/>
    <col min="15878" max="15878" width="9.88671875" style="393" bestFit="1" customWidth="1"/>
    <col min="15879" max="15879" width="8.88671875" style="393" bestFit="1" customWidth="1"/>
    <col min="15880" max="15890" width="10.33203125" style="393" customWidth="1"/>
    <col min="15891" max="16130" width="9.109375" style="393"/>
    <col min="16131" max="16131" width="1.6640625" style="393" customWidth="1"/>
    <col min="16132" max="16132" width="19.109375" style="393" customWidth="1"/>
    <col min="16133" max="16133" width="35.109375" style="393" customWidth="1"/>
    <col min="16134" max="16134" width="9.88671875" style="393" bestFit="1" customWidth="1"/>
    <col min="16135" max="16135" width="8.88671875" style="393" bestFit="1" customWidth="1"/>
    <col min="16136" max="16146" width="10.33203125" style="393" customWidth="1"/>
    <col min="16147" max="16384" width="9.109375" style="393"/>
  </cols>
  <sheetData>
    <row r="1" spans="1:19" s="369" customFormat="1" ht="36" customHeight="1" x14ac:dyDescent="0.3">
      <c r="A1" s="368"/>
      <c r="B1" s="368"/>
      <c r="C1" s="368"/>
      <c r="D1" s="744" t="s">
        <v>107</v>
      </c>
      <c r="E1" s="745"/>
      <c r="F1" s="746"/>
      <c r="G1" s="742" t="s">
        <v>212</v>
      </c>
      <c r="H1" s="742"/>
      <c r="I1" s="743"/>
      <c r="J1" s="741" t="s">
        <v>212</v>
      </c>
      <c r="K1" s="742"/>
      <c r="L1" s="743"/>
      <c r="M1" s="741" t="s">
        <v>212</v>
      </c>
      <c r="N1" s="742"/>
      <c r="O1" s="743"/>
      <c r="P1" s="741" t="s">
        <v>212</v>
      </c>
      <c r="Q1" s="742"/>
      <c r="R1" s="757"/>
      <c r="S1" s="758"/>
    </row>
    <row r="2" spans="1:19" s="369" customFormat="1" ht="36" customHeight="1" x14ac:dyDescent="0.3">
      <c r="A2" s="368" t="s">
        <v>395</v>
      </c>
      <c r="B2" s="368"/>
      <c r="C2" s="368"/>
      <c r="D2" s="607"/>
      <c r="E2" s="605"/>
      <c r="F2" s="606"/>
      <c r="G2" s="751" t="s">
        <v>212</v>
      </c>
      <c r="H2" s="742"/>
      <c r="I2" s="743"/>
      <c r="J2" s="741" t="s">
        <v>212</v>
      </c>
      <c r="K2" s="742"/>
      <c r="L2" s="743"/>
      <c r="M2" s="741" t="s">
        <v>212</v>
      </c>
      <c r="N2" s="742"/>
      <c r="O2" s="743"/>
      <c r="P2" s="741" t="s">
        <v>212</v>
      </c>
      <c r="Q2" s="742"/>
      <c r="R2" s="757"/>
      <c r="S2" s="759"/>
    </row>
    <row r="3" spans="1:19" s="369" customFormat="1" ht="36" customHeight="1" x14ac:dyDescent="0.3">
      <c r="A3" s="368" t="s">
        <v>215</v>
      </c>
      <c r="B3" s="368"/>
      <c r="C3" s="368"/>
      <c r="D3" s="370"/>
      <c r="E3" s="371"/>
      <c r="F3" s="372"/>
      <c r="G3" s="747" t="s">
        <v>212</v>
      </c>
      <c r="H3" s="748"/>
      <c r="I3" s="749"/>
      <c r="J3" s="750" t="s">
        <v>212</v>
      </c>
      <c r="K3" s="748"/>
      <c r="L3" s="749"/>
      <c r="M3" s="750" t="str">
        <f>'TCO TO BE- SW'!H1</f>
        <v>N/A</v>
      </c>
      <c r="N3" s="748"/>
      <c r="O3" s="749"/>
      <c r="P3" s="750" t="str">
        <f>'TCO TO BE- SW'!I1</f>
        <v>N/A</v>
      </c>
      <c r="Q3" s="748"/>
      <c r="R3" s="756"/>
      <c r="S3" s="759"/>
    </row>
    <row r="4" spans="1:19" s="369" customFormat="1" ht="36" customHeight="1" x14ac:dyDescent="0.3">
      <c r="A4" s="368" t="s">
        <v>216</v>
      </c>
      <c r="B4" s="368"/>
      <c r="C4" s="368"/>
      <c r="D4" s="370"/>
      <c r="E4" s="371"/>
      <c r="F4" s="372"/>
      <c r="G4" s="747" t="s">
        <v>212</v>
      </c>
      <c r="H4" s="748"/>
      <c r="I4" s="749"/>
      <c r="J4" s="750" t="s">
        <v>212</v>
      </c>
      <c r="K4" s="748"/>
      <c r="L4" s="749"/>
      <c r="M4" s="750" t="str">
        <f>'TCO TO BE - HW'!H1</f>
        <v>N/A</v>
      </c>
      <c r="N4" s="748"/>
      <c r="O4" s="749"/>
      <c r="P4" s="750" t="str">
        <f>'TCO TO BE - HW'!I1</f>
        <v>N/A</v>
      </c>
      <c r="Q4" s="748"/>
      <c r="R4" s="756"/>
      <c r="S4" s="759"/>
    </row>
    <row r="5" spans="1:19" s="382" customFormat="1" ht="112.8" customHeight="1" thickBot="1" x14ac:dyDescent="0.35">
      <c r="A5" s="373" t="s">
        <v>40</v>
      </c>
      <c r="B5" s="373" t="s">
        <v>10</v>
      </c>
      <c r="C5" s="374" t="s">
        <v>23</v>
      </c>
      <c r="D5" s="375" t="s">
        <v>220</v>
      </c>
      <c r="E5" s="376" t="s">
        <v>160</v>
      </c>
      <c r="F5" s="377" t="s">
        <v>149</v>
      </c>
      <c r="G5" s="378" t="s">
        <v>220</v>
      </c>
      <c r="H5" s="378" t="s">
        <v>160</v>
      </c>
      <c r="I5" s="379" t="s">
        <v>149</v>
      </c>
      <c r="J5" s="380" t="s">
        <v>220</v>
      </c>
      <c r="K5" s="378" t="s">
        <v>160</v>
      </c>
      <c r="L5" s="379" t="s">
        <v>149</v>
      </c>
      <c r="M5" s="380" t="s">
        <v>220</v>
      </c>
      <c r="N5" s="378" t="s">
        <v>160</v>
      </c>
      <c r="O5" s="379" t="s">
        <v>149</v>
      </c>
      <c r="P5" s="380" t="s">
        <v>220</v>
      </c>
      <c r="Q5" s="378" t="s">
        <v>160</v>
      </c>
      <c r="R5" s="381" t="s">
        <v>149</v>
      </c>
      <c r="S5" s="759"/>
    </row>
    <row r="6" spans="1:19" ht="14.4" customHeight="1" x14ac:dyDescent="0.3">
      <c r="A6" s="735" t="s">
        <v>315</v>
      </c>
      <c r="B6" s="738" t="s">
        <v>37</v>
      </c>
      <c r="C6" s="383" t="s">
        <v>25</v>
      </c>
      <c r="D6" s="384">
        <f>G6+J6+M6+P6</f>
        <v>0</v>
      </c>
      <c r="E6" s="385">
        <f>H6+K6+N6+Q6</f>
        <v>0</v>
      </c>
      <c r="F6" s="386">
        <f>I6+L6+O6+R6</f>
        <v>0</v>
      </c>
      <c r="G6" s="387"/>
      <c r="H6" s="387"/>
      <c r="I6" s="389">
        <f>H6-G6</f>
        <v>0</v>
      </c>
      <c r="J6" s="387"/>
      <c r="K6" s="387"/>
      <c r="L6" s="389">
        <f>K6-J6</f>
        <v>0</v>
      </c>
      <c r="M6" s="387"/>
      <c r="N6" s="387"/>
      <c r="O6" s="389">
        <f>N6-M6</f>
        <v>0</v>
      </c>
      <c r="P6" s="388"/>
      <c r="Q6" s="390"/>
      <c r="R6" s="391">
        <f>Q6-P6</f>
        <v>0</v>
      </c>
      <c r="S6" s="392">
        <v>0</v>
      </c>
    </row>
    <row r="7" spans="1:19" x14ac:dyDescent="0.3">
      <c r="A7" s="736"/>
      <c r="B7" s="739"/>
      <c r="C7" s="394" t="s">
        <v>26</v>
      </c>
      <c r="D7" s="395">
        <f t="shared" ref="D7:D16" si="0">G7+J7+M7+P7</f>
        <v>0</v>
      </c>
      <c r="E7" s="396">
        <f t="shared" ref="E7:E16" si="1">H7+K7+N7+Q7</f>
        <v>0</v>
      </c>
      <c r="F7" s="397">
        <f t="shared" ref="F7:F15" si="2">I7+L7+O7+R7</f>
        <v>0</v>
      </c>
      <c r="G7" s="398"/>
      <c r="H7" s="398"/>
      <c r="I7" s="400">
        <f t="shared" ref="I7:I25" si="3">H7-G7</f>
        <v>0</v>
      </c>
      <c r="J7" s="398"/>
      <c r="K7" s="398"/>
      <c r="L7" s="400">
        <f t="shared" ref="L7:L25" si="4">K7-J7</f>
        <v>0</v>
      </c>
      <c r="M7" s="398"/>
      <c r="N7" s="398"/>
      <c r="O7" s="400">
        <f t="shared" ref="O7:O25" si="5">N7-M7</f>
        <v>0</v>
      </c>
      <c r="P7" s="399"/>
      <c r="Q7" s="401"/>
      <c r="R7" s="402">
        <f t="shared" ref="R7:R25" si="6">Q7-P7</f>
        <v>0</v>
      </c>
      <c r="S7" s="392"/>
    </row>
    <row r="8" spans="1:19" x14ac:dyDescent="0.3">
      <c r="A8" s="736"/>
      <c r="B8" s="739"/>
      <c r="C8" s="394" t="s">
        <v>27</v>
      </c>
      <c r="D8" s="395">
        <f t="shared" si="0"/>
        <v>0</v>
      </c>
      <c r="E8" s="396">
        <f t="shared" si="1"/>
        <v>0</v>
      </c>
      <c r="F8" s="397">
        <f t="shared" si="2"/>
        <v>0</v>
      </c>
      <c r="G8" s="398"/>
      <c r="H8" s="398"/>
      <c r="I8" s="400">
        <f t="shared" si="3"/>
        <v>0</v>
      </c>
      <c r="J8" s="398"/>
      <c r="K8" s="398"/>
      <c r="L8" s="400">
        <f t="shared" si="4"/>
        <v>0</v>
      </c>
      <c r="M8" s="398"/>
      <c r="N8" s="398"/>
      <c r="O8" s="400">
        <f t="shared" si="5"/>
        <v>0</v>
      </c>
      <c r="P8" s="399"/>
      <c r="Q8" s="401"/>
      <c r="R8" s="402">
        <f t="shared" si="6"/>
        <v>0</v>
      </c>
      <c r="S8" s="392"/>
    </row>
    <row r="9" spans="1:19" x14ac:dyDescent="0.3">
      <c r="A9" s="736"/>
      <c r="B9" s="739"/>
      <c r="C9" s="394" t="s">
        <v>28</v>
      </c>
      <c r="D9" s="395">
        <f t="shared" si="0"/>
        <v>0</v>
      </c>
      <c r="E9" s="396">
        <f t="shared" si="1"/>
        <v>0</v>
      </c>
      <c r="F9" s="397">
        <f t="shared" si="2"/>
        <v>0</v>
      </c>
      <c r="G9" s="398"/>
      <c r="H9" s="398"/>
      <c r="I9" s="400">
        <f t="shared" si="3"/>
        <v>0</v>
      </c>
      <c r="J9" s="398"/>
      <c r="K9" s="398"/>
      <c r="L9" s="400">
        <f t="shared" si="4"/>
        <v>0</v>
      </c>
      <c r="M9" s="398"/>
      <c r="N9" s="398"/>
      <c r="O9" s="400">
        <f t="shared" si="5"/>
        <v>0</v>
      </c>
      <c r="P9" s="399"/>
      <c r="Q9" s="401"/>
      <c r="R9" s="402">
        <f t="shared" si="6"/>
        <v>0</v>
      </c>
      <c r="S9" s="392"/>
    </row>
    <row r="10" spans="1:19" x14ac:dyDescent="0.3">
      <c r="A10" s="736"/>
      <c r="B10" s="739"/>
      <c r="C10" s="394" t="s">
        <v>29</v>
      </c>
      <c r="D10" s="395">
        <f t="shared" si="0"/>
        <v>0</v>
      </c>
      <c r="E10" s="396">
        <f t="shared" si="1"/>
        <v>0</v>
      </c>
      <c r="F10" s="397">
        <f t="shared" si="2"/>
        <v>0</v>
      </c>
      <c r="G10" s="398"/>
      <c r="H10" s="398"/>
      <c r="I10" s="400">
        <f t="shared" si="3"/>
        <v>0</v>
      </c>
      <c r="J10" s="398"/>
      <c r="K10" s="398"/>
      <c r="L10" s="400">
        <f t="shared" si="4"/>
        <v>0</v>
      </c>
      <c r="M10" s="398"/>
      <c r="N10" s="398"/>
      <c r="O10" s="400">
        <f t="shared" si="5"/>
        <v>0</v>
      </c>
      <c r="P10" s="399"/>
      <c r="Q10" s="401"/>
      <c r="R10" s="402">
        <f t="shared" si="6"/>
        <v>0</v>
      </c>
      <c r="S10" s="392"/>
    </row>
    <row r="11" spans="1:19" x14ac:dyDescent="0.3">
      <c r="A11" s="736"/>
      <c r="B11" s="739"/>
      <c r="C11" s="394" t="s">
        <v>30</v>
      </c>
      <c r="D11" s="395">
        <f t="shared" si="0"/>
        <v>0</v>
      </c>
      <c r="E11" s="396">
        <f t="shared" si="1"/>
        <v>0</v>
      </c>
      <c r="F11" s="397">
        <f t="shared" si="2"/>
        <v>0</v>
      </c>
      <c r="G11" s="398"/>
      <c r="H11" s="398"/>
      <c r="I11" s="400">
        <f t="shared" si="3"/>
        <v>0</v>
      </c>
      <c r="J11" s="398"/>
      <c r="K11" s="398"/>
      <c r="L11" s="400">
        <f t="shared" si="4"/>
        <v>0</v>
      </c>
      <c r="M11" s="398"/>
      <c r="N11" s="398"/>
      <c r="O11" s="400">
        <f t="shared" si="5"/>
        <v>0</v>
      </c>
      <c r="P11" s="399"/>
      <c r="Q11" s="401"/>
      <c r="R11" s="402">
        <f t="shared" si="6"/>
        <v>0</v>
      </c>
      <c r="S11" s="392"/>
    </row>
    <row r="12" spans="1:19" x14ac:dyDescent="0.3">
      <c r="A12" s="736"/>
      <c r="B12" s="739"/>
      <c r="C12" s="394" t="s">
        <v>31</v>
      </c>
      <c r="D12" s="395">
        <f t="shared" si="0"/>
        <v>0</v>
      </c>
      <c r="E12" s="396">
        <f t="shared" si="1"/>
        <v>0</v>
      </c>
      <c r="F12" s="397">
        <f t="shared" si="2"/>
        <v>0</v>
      </c>
      <c r="G12" s="398"/>
      <c r="H12" s="398"/>
      <c r="I12" s="400">
        <f t="shared" si="3"/>
        <v>0</v>
      </c>
      <c r="J12" s="398"/>
      <c r="K12" s="398"/>
      <c r="L12" s="400">
        <f t="shared" si="4"/>
        <v>0</v>
      </c>
      <c r="M12" s="398"/>
      <c r="N12" s="398"/>
      <c r="O12" s="400">
        <f t="shared" si="5"/>
        <v>0</v>
      </c>
      <c r="P12" s="399"/>
      <c r="Q12" s="401"/>
      <c r="R12" s="402">
        <f t="shared" si="6"/>
        <v>0</v>
      </c>
      <c r="S12" s="392"/>
    </row>
    <row r="13" spans="1:19" x14ac:dyDescent="0.3">
      <c r="A13" s="736"/>
      <c r="B13" s="739"/>
      <c r="C13" s="394" t="s">
        <v>32</v>
      </c>
      <c r="D13" s="395">
        <f t="shared" si="0"/>
        <v>0</v>
      </c>
      <c r="E13" s="396">
        <f t="shared" si="1"/>
        <v>0</v>
      </c>
      <c r="F13" s="397">
        <f t="shared" si="2"/>
        <v>0</v>
      </c>
      <c r="G13" s="398"/>
      <c r="H13" s="398"/>
      <c r="I13" s="400">
        <f t="shared" si="3"/>
        <v>0</v>
      </c>
      <c r="J13" s="398"/>
      <c r="K13" s="398"/>
      <c r="L13" s="400">
        <f t="shared" si="4"/>
        <v>0</v>
      </c>
      <c r="M13" s="398"/>
      <c r="N13" s="398"/>
      <c r="O13" s="400">
        <f t="shared" si="5"/>
        <v>0</v>
      </c>
      <c r="P13" s="399"/>
      <c r="Q13" s="401"/>
      <c r="R13" s="402">
        <f t="shared" si="6"/>
        <v>0</v>
      </c>
      <c r="S13" s="392"/>
    </row>
    <row r="14" spans="1:19" x14ac:dyDescent="0.3">
      <c r="A14" s="736"/>
      <c r="B14" s="739"/>
      <c r="C14" s="394" t="s">
        <v>33</v>
      </c>
      <c r="D14" s="395">
        <f t="shared" si="0"/>
        <v>0</v>
      </c>
      <c r="E14" s="396">
        <f t="shared" si="1"/>
        <v>0</v>
      </c>
      <c r="F14" s="397">
        <f t="shared" si="2"/>
        <v>0</v>
      </c>
      <c r="G14" s="398"/>
      <c r="H14" s="398"/>
      <c r="I14" s="400">
        <f t="shared" si="3"/>
        <v>0</v>
      </c>
      <c r="J14" s="398"/>
      <c r="K14" s="398"/>
      <c r="L14" s="400">
        <f t="shared" si="4"/>
        <v>0</v>
      </c>
      <c r="M14" s="398"/>
      <c r="N14" s="398"/>
      <c r="O14" s="400">
        <f t="shared" si="5"/>
        <v>0</v>
      </c>
      <c r="P14" s="399"/>
      <c r="Q14" s="401"/>
      <c r="R14" s="402">
        <f t="shared" si="6"/>
        <v>0</v>
      </c>
      <c r="S14" s="392"/>
    </row>
    <row r="15" spans="1:19" ht="15" thickBot="1" x14ac:dyDescent="0.35">
      <c r="A15" s="737"/>
      <c r="B15" s="740"/>
      <c r="C15" s="403" t="s">
        <v>34</v>
      </c>
      <c r="D15" s="404">
        <f t="shared" si="0"/>
        <v>0</v>
      </c>
      <c r="E15" s="405">
        <f t="shared" si="1"/>
        <v>0</v>
      </c>
      <c r="F15" s="406">
        <f t="shared" si="2"/>
        <v>0</v>
      </c>
      <c r="G15" s="398"/>
      <c r="H15" s="398"/>
      <c r="I15" s="409">
        <f t="shared" si="3"/>
        <v>0</v>
      </c>
      <c r="J15" s="407"/>
      <c r="K15" s="407"/>
      <c r="L15" s="409">
        <f t="shared" si="4"/>
        <v>0</v>
      </c>
      <c r="M15" s="407"/>
      <c r="N15" s="407"/>
      <c r="O15" s="409">
        <f t="shared" si="5"/>
        <v>0</v>
      </c>
      <c r="P15" s="408"/>
      <c r="Q15" s="410"/>
      <c r="R15" s="411">
        <f t="shared" si="6"/>
        <v>0</v>
      </c>
      <c r="S15" s="392"/>
    </row>
    <row r="16" spans="1:19" x14ac:dyDescent="0.3">
      <c r="A16" s="735" t="s">
        <v>183</v>
      </c>
      <c r="B16" s="738" t="s">
        <v>13</v>
      </c>
      <c r="C16" s="383" t="s">
        <v>25</v>
      </c>
      <c r="D16" s="412">
        <f t="shared" si="0"/>
        <v>0</v>
      </c>
      <c r="E16" s="413">
        <f t="shared" si="1"/>
        <v>0</v>
      </c>
      <c r="F16" s="414"/>
      <c r="G16" s="415"/>
      <c r="H16" s="416"/>
      <c r="I16" s="417">
        <f t="shared" si="3"/>
        <v>0</v>
      </c>
      <c r="J16" s="416"/>
      <c r="K16" s="416"/>
      <c r="L16" s="417">
        <f t="shared" si="4"/>
        <v>0</v>
      </c>
      <c r="M16" s="416"/>
      <c r="N16" s="416"/>
      <c r="O16" s="417">
        <f t="shared" si="5"/>
        <v>0</v>
      </c>
      <c r="P16" s="416"/>
      <c r="Q16" s="418"/>
      <c r="R16" s="419">
        <f t="shared" si="6"/>
        <v>0</v>
      </c>
      <c r="S16" s="392"/>
    </row>
    <row r="17" spans="1:19" x14ac:dyDescent="0.3">
      <c r="A17" s="736"/>
      <c r="B17" s="739"/>
      <c r="C17" s="394" t="s">
        <v>26</v>
      </c>
      <c r="D17" s="420"/>
      <c r="E17" s="421"/>
      <c r="F17" s="422"/>
      <c r="G17" s="423"/>
      <c r="H17" s="424"/>
      <c r="I17" s="425">
        <f t="shared" si="3"/>
        <v>0</v>
      </c>
      <c r="J17" s="424"/>
      <c r="K17" s="424"/>
      <c r="L17" s="425">
        <f t="shared" si="4"/>
        <v>0</v>
      </c>
      <c r="M17" s="424"/>
      <c r="N17" s="424"/>
      <c r="O17" s="425">
        <f t="shared" si="5"/>
        <v>0</v>
      </c>
      <c r="P17" s="424"/>
      <c r="Q17" s="426"/>
      <c r="R17" s="427">
        <f t="shared" si="6"/>
        <v>0</v>
      </c>
      <c r="S17" s="392"/>
    </row>
    <row r="18" spans="1:19" x14ac:dyDescent="0.3">
      <c r="A18" s="736"/>
      <c r="B18" s="739"/>
      <c r="C18" s="394" t="s">
        <v>27</v>
      </c>
      <c r="D18" s="420"/>
      <c r="E18" s="421"/>
      <c r="F18" s="422"/>
      <c r="G18" s="423"/>
      <c r="H18" s="424"/>
      <c r="I18" s="425">
        <f t="shared" si="3"/>
        <v>0</v>
      </c>
      <c r="J18" s="424"/>
      <c r="K18" s="424"/>
      <c r="L18" s="425">
        <f t="shared" si="4"/>
        <v>0</v>
      </c>
      <c r="M18" s="424"/>
      <c r="N18" s="424"/>
      <c r="O18" s="425">
        <f t="shared" si="5"/>
        <v>0</v>
      </c>
      <c r="P18" s="424"/>
      <c r="Q18" s="426"/>
      <c r="R18" s="427">
        <f t="shared" si="6"/>
        <v>0</v>
      </c>
      <c r="S18" s="392"/>
    </row>
    <row r="19" spans="1:19" x14ac:dyDescent="0.3">
      <c r="A19" s="736"/>
      <c r="B19" s="739"/>
      <c r="C19" s="394" t="s">
        <v>28</v>
      </c>
      <c r="D19" s="420"/>
      <c r="E19" s="421"/>
      <c r="F19" s="422"/>
      <c r="G19" s="423"/>
      <c r="H19" s="424"/>
      <c r="I19" s="425">
        <f t="shared" si="3"/>
        <v>0</v>
      </c>
      <c r="J19" s="424"/>
      <c r="K19" s="424"/>
      <c r="L19" s="425">
        <f t="shared" si="4"/>
        <v>0</v>
      </c>
      <c r="M19" s="424"/>
      <c r="N19" s="424"/>
      <c r="O19" s="425">
        <f t="shared" si="5"/>
        <v>0</v>
      </c>
      <c r="P19" s="424"/>
      <c r="Q19" s="426"/>
      <c r="R19" s="427">
        <f t="shared" si="6"/>
        <v>0</v>
      </c>
      <c r="S19" s="392"/>
    </row>
    <row r="20" spans="1:19" x14ac:dyDescent="0.3">
      <c r="A20" s="736"/>
      <c r="B20" s="739"/>
      <c r="C20" s="394" t="s">
        <v>29</v>
      </c>
      <c r="D20" s="420"/>
      <c r="E20" s="421"/>
      <c r="F20" s="422"/>
      <c r="G20" s="423"/>
      <c r="H20" s="424"/>
      <c r="I20" s="425">
        <f t="shared" si="3"/>
        <v>0</v>
      </c>
      <c r="J20" s="424"/>
      <c r="K20" s="424"/>
      <c r="L20" s="425">
        <f t="shared" si="4"/>
        <v>0</v>
      </c>
      <c r="M20" s="424"/>
      <c r="N20" s="424"/>
      <c r="O20" s="425">
        <f t="shared" si="5"/>
        <v>0</v>
      </c>
      <c r="P20" s="424"/>
      <c r="Q20" s="426"/>
      <c r="R20" s="427">
        <f t="shared" si="6"/>
        <v>0</v>
      </c>
      <c r="S20" s="392"/>
    </row>
    <row r="21" spans="1:19" x14ac:dyDescent="0.3">
      <c r="A21" s="736"/>
      <c r="B21" s="739"/>
      <c r="C21" s="394" t="s">
        <v>30</v>
      </c>
      <c r="D21" s="420"/>
      <c r="E21" s="421"/>
      <c r="F21" s="422"/>
      <c r="G21" s="423"/>
      <c r="H21" s="424"/>
      <c r="I21" s="425">
        <f t="shared" si="3"/>
        <v>0</v>
      </c>
      <c r="J21" s="424"/>
      <c r="K21" s="424"/>
      <c r="L21" s="425">
        <f t="shared" si="4"/>
        <v>0</v>
      </c>
      <c r="M21" s="424"/>
      <c r="N21" s="424"/>
      <c r="O21" s="425">
        <f t="shared" si="5"/>
        <v>0</v>
      </c>
      <c r="P21" s="424"/>
      <c r="Q21" s="426"/>
      <c r="R21" s="427">
        <f t="shared" si="6"/>
        <v>0</v>
      </c>
      <c r="S21" s="392"/>
    </row>
    <row r="22" spans="1:19" x14ac:dyDescent="0.3">
      <c r="A22" s="736"/>
      <c r="B22" s="739"/>
      <c r="C22" s="394" t="s">
        <v>31</v>
      </c>
      <c r="D22" s="420"/>
      <c r="E22" s="421"/>
      <c r="F22" s="422"/>
      <c r="G22" s="423"/>
      <c r="H22" s="424"/>
      <c r="I22" s="425">
        <f t="shared" si="3"/>
        <v>0</v>
      </c>
      <c r="J22" s="424"/>
      <c r="K22" s="424"/>
      <c r="L22" s="425">
        <f t="shared" si="4"/>
        <v>0</v>
      </c>
      <c r="M22" s="424"/>
      <c r="N22" s="424"/>
      <c r="O22" s="425">
        <f t="shared" si="5"/>
        <v>0</v>
      </c>
      <c r="P22" s="424"/>
      <c r="Q22" s="426"/>
      <c r="R22" s="427">
        <f t="shared" si="6"/>
        <v>0</v>
      </c>
      <c r="S22" s="392"/>
    </row>
    <row r="23" spans="1:19" x14ac:dyDescent="0.3">
      <c r="A23" s="736"/>
      <c r="B23" s="739"/>
      <c r="C23" s="394" t="s">
        <v>32</v>
      </c>
      <c r="D23" s="420"/>
      <c r="E23" s="421"/>
      <c r="F23" s="422"/>
      <c r="G23" s="423"/>
      <c r="H23" s="424"/>
      <c r="I23" s="425">
        <f t="shared" si="3"/>
        <v>0</v>
      </c>
      <c r="J23" s="424"/>
      <c r="K23" s="424"/>
      <c r="L23" s="425">
        <f t="shared" si="4"/>
        <v>0</v>
      </c>
      <c r="M23" s="424"/>
      <c r="N23" s="424"/>
      <c r="O23" s="425">
        <f t="shared" si="5"/>
        <v>0</v>
      </c>
      <c r="P23" s="424"/>
      <c r="Q23" s="426"/>
      <c r="R23" s="427">
        <f t="shared" si="6"/>
        <v>0</v>
      </c>
      <c r="S23" s="392"/>
    </row>
    <row r="24" spans="1:19" x14ac:dyDescent="0.3">
      <c r="A24" s="736"/>
      <c r="B24" s="739"/>
      <c r="C24" s="394" t="s">
        <v>33</v>
      </c>
      <c r="D24" s="420"/>
      <c r="E24" s="421"/>
      <c r="F24" s="422"/>
      <c r="G24" s="423"/>
      <c r="H24" s="424"/>
      <c r="I24" s="425">
        <f t="shared" si="3"/>
        <v>0</v>
      </c>
      <c r="J24" s="424"/>
      <c r="K24" s="424"/>
      <c r="L24" s="425">
        <f t="shared" si="4"/>
        <v>0</v>
      </c>
      <c r="M24" s="424"/>
      <c r="N24" s="424"/>
      <c r="O24" s="425">
        <f t="shared" si="5"/>
        <v>0</v>
      </c>
      <c r="P24" s="424"/>
      <c r="Q24" s="426"/>
      <c r="R24" s="427">
        <f t="shared" si="6"/>
        <v>0</v>
      </c>
      <c r="S24" s="392"/>
    </row>
    <row r="25" spans="1:19" ht="15" thickBot="1" x14ac:dyDescent="0.35">
      <c r="A25" s="737"/>
      <c r="B25" s="740"/>
      <c r="C25" s="403" t="s">
        <v>34</v>
      </c>
      <c r="D25" s="428"/>
      <c r="E25" s="429"/>
      <c r="F25" s="430"/>
      <c r="G25" s="431"/>
      <c r="H25" s="432"/>
      <c r="I25" s="433">
        <f t="shared" si="3"/>
        <v>0</v>
      </c>
      <c r="J25" s="432"/>
      <c r="K25" s="432"/>
      <c r="L25" s="433">
        <f t="shared" si="4"/>
        <v>0</v>
      </c>
      <c r="M25" s="432"/>
      <c r="N25" s="432"/>
      <c r="O25" s="433">
        <f t="shared" si="5"/>
        <v>0</v>
      </c>
      <c r="P25" s="432"/>
      <c r="Q25" s="434"/>
      <c r="R25" s="435">
        <f t="shared" si="6"/>
        <v>0</v>
      </c>
      <c r="S25" s="392"/>
    </row>
    <row r="26" spans="1:19" s="437" customFormat="1" ht="14.25" customHeight="1" x14ac:dyDescent="0.3">
      <c r="A26" s="735" t="s">
        <v>42</v>
      </c>
      <c r="B26" s="738" t="s">
        <v>13</v>
      </c>
      <c r="C26" s="383" t="s">
        <v>25</v>
      </c>
      <c r="D26" s="412"/>
      <c r="E26" s="413"/>
      <c r="F26" s="414"/>
      <c r="G26" s="415"/>
      <c r="H26" s="416"/>
      <c r="I26" s="417">
        <f>H26-G26</f>
        <v>0</v>
      </c>
      <c r="J26" s="416"/>
      <c r="K26" s="416"/>
      <c r="L26" s="417">
        <f>K26-J26</f>
        <v>0</v>
      </c>
      <c r="M26" s="416"/>
      <c r="N26" s="416"/>
      <c r="O26" s="417">
        <f>N26-M26</f>
        <v>0</v>
      </c>
      <c r="P26" s="416"/>
      <c r="Q26" s="418"/>
      <c r="R26" s="419">
        <f>Q26-P26</f>
        <v>0</v>
      </c>
      <c r="S26" s="436"/>
    </row>
    <row r="27" spans="1:19" s="439" customFormat="1" x14ac:dyDescent="0.3">
      <c r="A27" s="736"/>
      <c r="B27" s="739"/>
      <c r="C27" s="394" t="s">
        <v>26</v>
      </c>
      <c r="D27" s="420"/>
      <c r="E27" s="421"/>
      <c r="F27" s="422"/>
      <c r="G27" s="423"/>
      <c r="H27" s="424"/>
      <c r="I27" s="425">
        <f t="shared" ref="I27:I44" si="7">H27-G27</f>
        <v>0</v>
      </c>
      <c r="J27" s="424"/>
      <c r="K27" s="424"/>
      <c r="L27" s="425">
        <f t="shared" ref="L27:L44" si="8">K27-J27</f>
        <v>0</v>
      </c>
      <c r="M27" s="424"/>
      <c r="N27" s="424"/>
      <c r="O27" s="425">
        <f t="shared" ref="O27:O44" si="9">N27-M27</f>
        <v>0</v>
      </c>
      <c r="P27" s="424"/>
      <c r="Q27" s="426"/>
      <c r="R27" s="427">
        <f t="shared" ref="R27:R54" si="10">Q27-P27</f>
        <v>0</v>
      </c>
      <c r="S27" s="438"/>
    </row>
    <row r="28" spans="1:19" s="439" customFormat="1" x14ac:dyDescent="0.3">
      <c r="A28" s="736"/>
      <c r="B28" s="739"/>
      <c r="C28" s="394" t="s">
        <v>27</v>
      </c>
      <c r="D28" s="420"/>
      <c r="E28" s="421"/>
      <c r="F28" s="422"/>
      <c r="G28" s="423"/>
      <c r="H28" s="424"/>
      <c r="I28" s="425">
        <f t="shared" si="7"/>
        <v>0</v>
      </c>
      <c r="J28" s="424"/>
      <c r="K28" s="424"/>
      <c r="L28" s="425">
        <f t="shared" si="8"/>
        <v>0</v>
      </c>
      <c r="M28" s="424"/>
      <c r="N28" s="424"/>
      <c r="O28" s="425">
        <f t="shared" si="9"/>
        <v>0</v>
      </c>
      <c r="P28" s="424"/>
      <c r="Q28" s="426"/>
      <c r="R28" s="427">
        <f t="shared" si="10"/>
        <v>0</v>
      </c>
      <c r="S28" s="438"/>
    </row>
    <row r="29" spans="1:19" s="439" customFormat="1" x14ac:dyDescent="0.3">
      <c r="A29" s="736"/>
      <c r="B29" s="739"/>
      <c r="C29" s="394" t="s">
        <v>28</v>
      </c>
      <c r="D29" s="420"/>
      <c r="E29" s="421"/>
      <c r="F29" s="422"/>
      <c r="G29" s="423"/>
      <c r="H29" s="424"/>
      <c r="I29" s="425">
        <f t="shared" si="7"/>
        <v>0</v>
      </c>
      <c r="J29" s="424"/>
      <c r="K29" s="424"/>
      <c r="L29" s="425">
        <f t="shared" si="8"/>
        <v>0</v>
      </c>
      <c r="M29" s="424"/>
      <c r="N29" s="424"/>
      <c r="O29" s="425">
        <f t="shared" si="9"/>
        <v>0</v>
      </c>
      <c r="P29" s="424"/>
      <c r="Q29" s="426"/>
      <c r="R29" s="427">
        <f t="shared" si="10"/>
        <v>0</v>
      </c>
      <c r="S29" s="438"/>
    </row>
    <row r="30" spans="1:19" s="439" customFormat="1" x14ac:dyDescent="0.3">
      <c r="A30" s="736"/>
      <c r="B30" s="739"/>
      <c r="C30" s="394" t="s">
        <v>29</v>
      </c>
      <c r="D30" s="420"/>
      <c r="E30" s="421"/>
      <c r="F30" s="422"/>
      <c r="G30" s="423"/>
      <c r="H30" s="424"/>
      <c r="I30" s="425">
        <f t="shared" si="7"/>
        <v>0</v>
      </c>
      <c r="J30" s="424"/>
      <c r="K30" s="424"/>
      <c r="L30" s="425">
        <f t="shared" si="8"/>
        <v>0</v>
      </c>
      <c r="M30" s="424"/>
      <c r="N30" s="424"/>
      <c r="O30" s="425">
        <f t="shared" si="9"/>
        <v>0</v>
      </c>
      <c r="P30" s="424"/>
      <c r="Q30" s="426"/>
      <c r="R30" s="427">
        <f t="shared" si="10"/>
        <v>0</v>
      </c>
      <c r="S30" s="438"/>
    </row>
    <row r="31" spans="1:19" s="439" customFormat="1" x14ac:dyDescent="0.3">
      <c r="A31" s="736"/>
      <c r="B31" s="739"/>
      <c r="C31" s="394" t="s">
        <v>30</v>
      </c>
      <c r="D31" s="420"/>
      <c r="E31" s="421"/>
      <c r="F31" s="422"/>
      <c r="G31" s="423"/>
      <c r="H31" s="424"/>
      <c r="I31" s="425">
        <f t="shared" si="7"/>
        <v>0</v>
      </c>
      <c r="J31" s="424"/>
      <c r="K31" s="424"/>
      <c r="L31" s="425">
        <f t="shared" si="8"/>
        <v>0</v>
      </c>
      <c r="M31" s="424"/>
      <c r="N31" s="424"/>
      <c r="O31" s="425">
        <f t="shared" si="9"/>
        <v>0</v>
      </c>
      <c r="P31" s="424"/>
      <c r="Q31" s="426"/>
      <c r="R31" s="427">
        <f t="shared" si="10"/>
        <v>0</v>
      </c>
      <c r="S31" s="438"/>
    </row>
    <row r="32" spans="1:19" s="439" customFormat="1" x14ac:dyDescent="0.3">
      <c r="A32" s="736"/>
      <c r="B32" s="739"/>
      <c r="C32" s="394" t="s">
        <v>31</v>
      </c>
      <c r="D32" s="420"/>
      <c r="E32" s="421"/>
      <c r="F32" s="422"/>
      <c r="G32" s="423"/>
      <c r="H32" s="424"/>
      <c r="I32" s="425">
        <f t="shared" si="7"/>
        <v>0</v>
      </c>
      <c r="J32" s="424"/>
      <c r="K32" s="424"/>
      <c r="L32" s="425">
        <f t="shared" si="8"/>
        <v>0</v>
      </c>
      <c r="M32" s="424"/>
      <c r="N32" s="424"/>
      <c r="O32" s="425">
        <f t="shared" si="9"/>
        <v>0</v>
      </c>
      <c r="P32" s="424"/>
      <c r="Q32" s="426"/>
      <c r="R32" s="427">
        <f t="shared" si="10"/>
        <v>0</v>
      </c>
      <c r="S32" s="438"/>
    </row>
    <row r="33" spans="1:19" s="439" customFormat="1" x14ac:dyDescent="0.3">
      <c r="A33" s="736"/>
      <c r="B33" s="739"/>
      <c r="C33" s="394" t="s">
        <v>32</v>
      </c>
      <c r="D33" s="420"/>
      <c r="E33" s="421"/>
      <c r="F33" s="422"/>
      <c r="G33" s="423"/>
      <c r="H33" s="424"/>
      <c r="I33" s="425">
        <f t="shared" si="7"/>
        <v>0</v>
      </c>
      <c r="J33" s="424"/>
      <c r="K33" s="424"/>
      <c r="L33" s="425">
        <f t="shared" si="8"/>
        <v>0</v>
      </c>
      <c r="M33" s="424"/>
      <c r="N33" s="424"/>
      <c r="O33" s="425">
        <f t="shared" si="9"/>
        <v>0</v>
      </c>
      <c r="P33" s="424"/>
      <c r="Q33" s="426"/>
      <c r="R33" s="427">
        <f t="shared" si="10"/>
        <v>0</v>
      </c>
      <c r="S33" s="438"/>
    </row>
    <row r="34" spans="1:19" s="439" customFormat="1" x14ac:dyDescent="0.3">
      <c r="A34" s="736"/>
      <c r="B34" s="739"/>
      <c r="C34" s="394" t="s">
        <v>33</v>
      </c>
      <c r="D34" s="420"/>
      <c r="E34" s="421"/>
      <c r="F34" s="422"/>
      <c r="G34" s="423"/>
      <c r="H34" s="424"/>
      <c r="I34" s="425">
        <f t="shared" si="7"/>
        <v>0</v>
      </c>
      <c r="J34" s="424"/>
      <c r="K34" s="424"/>
      <c r="L34" s="425">
        <f t="shared" si="8"/>
        <v>0</v>
      </c>
      <c r="M34" s="424"/>
      <c r="N34" s="424"/>
      <c r="O34" s="425">
        <f t="shared" si="9"/>
        <v>0</v>
      </c>
      <c r="P34" s="424"/>
      <c r="Q34" s="426"/>
      <c r="R34" s="427">
        <f t="shared" si="10"/>
        <v>0</v>
      </c>
      <c r="S34" s="438"/>
    </row>
    <row r="35" spans="1:19" s="439" customFormat="1" ht="15" thickBot="1" x14ac:dyDescent="0.35">
      <c r="A35" s="737"/>
      <c r="B35" s="740"/>
      <c r="C35" s="403" t="s">
        <v>34</v>
      </c>
      <c r="D35" s="428"/>
      <c r="E35" s="429"/>
      <c r="F35" s="430"/>
      <c r="G35" s="431"/>
      <c r="H35" s="432"/>
      <c r="I35" s="433">
        <f t="shared" si="7"/>
        <v>0</v>
      </c>
      <c r="J35" s="432"/>
      <c r="K35" s="432"/>
      <c r="L35" s="433">
        <f t="shared" si="8"/>
        <v>0</v>
      </c>
      <c r="M35" s="432"/>
      <c r="N35" s="432"/>
      <c r="O35" s="433">
        <f t="shared" si="9"/>
        <v>0</v>
      </c>
      <c r="P35" s="432"/>
      <c r="Q35" s="434"/>
      <c r="R35" s="435">
        <f t="shared" si="10"/>
        <v>0</v>
      </c>
      <c r="S35" s="438"/>
    </row>
    <row r="36" spans="1:19" s="437" customFormat="1" ht="14.4" customHeight="1" x14ac:dyDescent="0.3">
      <c r="A36" s="735" t="s">
        <v>187</v>
      </c>
      <c r="B36" s="738" t="s">
        <v>180</v>
      </c>
      <c r="C36" s="383" t="s">
        <v>25</v>
      </c>
      <c r="D36" s="412"/>
      <c r="E36" s="413"/>
      <c r="F36" s="414"/>
      <c r="G36" s="415"/>
      <c r="H36" s="416"/>
      <c r="I36" s="417">
        <f t="shared" si="7"/>
        <v>0</v>
      </c>
      <c r="J36" s="415"/>
      <c r="K36" s="416"/>
      <c r="L36" s="417">
        <f t="shared" si="8"/>
        <v>0</v>
      </c>
      <c r="M36" s="416">
        <v>0</v>
      </c>
      <c r="N36" s="416">
        <v>0</v>
      </c>
      <c r="O36" s="417">
        <f t="shared" si="9"/>
        <v>0</v>
      </c>
      <c r="P36" s="416"/>
      <c r="Q36" s="418"/>
      <c r="R36" s="419">
        <f t="shared" si="10"/>
        <v>0</v>
      </c>
      <c r="S36" s="436">
        <f>'Analyza citlivosti - AgendovéIS'!N7</f>
        <v>0</v>
      </c>
    </row>
    <row r="37" spans="1:19" s="439" customFormat="1" x14ac:dyDescent="0.3">
      <c r="A37" s="736"/>
      <c r="B37" s="739"/>
      <c r="C37" s="394" t="s">
        <v>26</v>
      </c>
      <c r="D37" s="420"/>
      <c r="E37" s="421"/>
      <c r="F37" s="422"/>
      <c r="G37" s="423"/>
      <c r="H37" s="424"/>
      <c r="I37" s="425">
        <f t="shared" si="7"/>
        <v>0</v>
      </c>
      <c r="J37" s="423"/>
      <c r="K37" s="424"/>
      <c r="L37" s="425">
        <f t="shared" si="8"/>
        <v>0</v>
      </c>
      <c r="M37" s="424">
        <v>0</v>
      </c>
      <c r="N37" s="424">
        <v>0</v>
      </c>
      <c r="O37" s="425">
        <f t="shared" si="9"/>
        <v>0</v>
      </c>
      <c r="P37" s="424"/>
      <c r="Q37" s="426"/>
      <c r="R37" s="427">
        <f t="shared" si="10"/>
        <v>0</v>
      </c>
      <c r="S37" s="438"/>
    </row>
    <row r="38" spans="1:19" s="439" customFormat="1" x14ac:dyDescent="0.3">
      <c r="A38" s="736"/>
      <c r="B38" s="739"/>
      <c r="C38" s="394" t="s">
        <v>27</v>
      </c>
      <c r="D38" s="420"/>
      <c r="E38" s="421"/>
      <c r="F38" s="422"/>
      <c r="G38" s="423"/>
      <c r="H38" s="424"/>
      <c r="I38" s="425">
        <f t="shared" si="7"/>
        <v>0</v>
      </c>
      <c r="J38" s="423"/>
      <c r="K38" s="424"/>
      <c r="L38" s="425">
        <f t="shared" si="8"/>
        <v>0</v>
      </c>
      <c r="M38" s="424">
        <v>0</v>
      </c>
      <c r="N38" s="424">
        <v>0</v>
      </c>
      <c r="O38" s="425">
        <f t="shared" si="9"/>
        <v>0</v>
      </c>
      <c r="P38" s="424"/>
      <c r="Q38" s="426"/>
      <c r="R38" s="427">
        <f t="shared" si="10"/>
        <v>0</v>
      </c>
      <c r="S38" s="438"/>
    </row>
    <row r="39" spans="1:19" s="439" customFormat="1" x14ac:dyDescent="0.3">
      <c r="A39" s="736"/>
      <c r="B39" s="739"/>
      <c r="C39" s="394" t="s">
        <v>28</v>
      </c>
      <c r="D39" s="420"/>
      <c r="E39" s="421"/>
      <c r="F39" s="422"/>
      <c r="G39" s="423"/>
      <c r="H39" s="424"/>
      <c r="I39" s="425">
        <f t="shared" si="7"/>
        <v>0</v>
      </c>
      <c r="J39" s="423"/>
      <c r="K39" s="424"/>
      <c r="L39" s="425">
        <f t="shared" si="8"/>
        <v>0</v>
      </c>
      <c r="M39" s="424">
        <v>0</v>
      </c>
      <c r="N39" s="424">
        <v>0</v>
      </c>
      <c r="O39" s="425">
        <f t="shared" si="9"/>
        <v>0</v>
      </c>
      <c r="P39" s="424"/>
      <c r="Q39" s="426"/>
      <c r="R39" s="427">
        <f t="shared" si="10"/>
        <v>0</v>
      </c>
      <c r="S39" s="438"/>
    </row>
    <row r="40" spans="1:19" s="439" customFormat="1" x14ac:dyDescent="0.3">
      <c r="A40" s="736"/>
      <c r="B40" s="739"/>
      <c r="C40" s="394" t="s">
        <v>29</v>
      </c>
      <c r="D40" s="420"/>
      <c r="E40" s="421"/>
      <c r="F40" s="422"/>
      <c r="G40" s="423"/>
      <c r="H40" s="424"/>
      <c r="I40" s="425">
        <f t="shared" si="7"/>
        <v>0</v>
      </c>
      <c r="J40" s="423"/>
      <c r="K40" s="424"/>
      <c r="L40" s="425">
        <f t="shared" si="8"/>
        <v>0</v>
      </c>
      <c r="M40" s="424">
        <v>0</v>
      </c>
      <c r="N40" s="424">
        <v>0</v>
      </c>
      <c r="O40" s="425">
        <f t="shared" si="9"/>
        <v>0</v>
      </c>
      <c r="P40" s="424"/>
      <c r="Q40" s="426"/>
      <c r="R40" s="427">
        <f t="shared" si="10"/>
        <v>0</v>
      </c>
      <c r="S40" s="438"/>
    </row>
    <row r="41" spans="1:19" s="439" customFormat="1" x14ac:dyDescent="0.3">
      <c r="A41" s="736"/>
      <c r="B41" s="739"/>
      <c r="C41" s="394" t="s">
        <v>30</v>
      </c>
      <c r="D41" s="420"/>
      <c r="E41" s="421"/>
      <c r="F41" s="422"/>
      <c r="G41" s="423"/>
      <c r="H41" s="424"/>
      <c r="I41" s="425">
        <f t="shared" si="7"/>
        <v>0</v>
      </c>
      <c r="J41" s="423"/>
      <c r="K41" s="424"/>
      <c r="L41" s="425">
        <f t="shared" si="8"/>
        <v>0</v>
      </c>
      <c r="M41" s="424">
        <v>0</v>
      </c>
      <c r="N41" s="424">
        <v>0</v>
      </c>
      <c r="O41" s="425">
        <f t="shared" si="9"/>
        <v>0</v>
      </c>
      <c r="P41" s="424"/>
      <c r="Q41" s="426"/>
      <c r="R41" s="427">
        <f t="shared" si="10"/>
        <v>0</v>
      </c>
      <c r="S41" s="438"/>
    </row>
    <row r="42" spans="1:19" s="439" customFormat="1" x14ac:dyDescent="0.3">
      <c r="A42" s="736"/>
      <c r="B42" s="739"/>
      <c r="C42" s="394" t="s">
        <v>31</v>
      </c>
      <c r="D42" s="420"/>
      <c r="E42" s="421"/>
      <c r="F42" s="422"/>
      <c r="G42" s="423"/>
      <c r="H42" s="424"/>
      <c r="I42" s="425">
        <f t="shared" si="7"/>
        <v>0</v>
      </c>
      <c r="J42" s="423"/>
      <c r="K42" s="424"/>
      <c r="L42" s="425">
        <f t="shared" si="8"/>
        <v>0</v>
      </c>
      <c r="M42" s="424">
        <v>0</v>
      </c>
      <c r="N42" s="424">
        <v>0</v>
      </c>
      <c r="O42" s="425">
        <f t="shared" si="9"/>
        <v>0</v>
      </c>
      <c r="P42" s="424"/>
      <c r="Q42" s="426"/>
      <c r="R42" s="427">
        <f t="shared" si="10"/>
        <v>0</v>
      </c>
      <c r="S42" s="438"/>
    </row>
    <row r="43" spans="1:19" s="439" customFormat="1" x14ac:dyDescent="0.3">
      <c r="A43" s="736"/>
      <c r="B43" s="739"/>
      <c r="C43" s="394" t="s">
        <v>32</v>
      </c>
      <c r="D43" s="420"/>
      <c r="E43" s="421"/>
      <c r="F43" s="422"/>
      <c r="G43" s="423"/>
      <c r="H43" s="424"/>
      <c r="I43" s="425">
        <f t="shared" si="7"/>
        <v>0</v>
      </c>
      <c r="J43" s="423"/>
      <c r="K43" s="424"/>
      <c r="L43" s="425">
        <f t="shared" si="8"/>
        <v>0</v>
      </c>
      <c r="M43" s="424">
        <v>0</v>
      </c>
      <c r="N43" s="424">
        <v>0</v>
      </c>
      <c r="O43" s="425">
        <f t="shared" si="9"/>
        <v>0</v>
      </c>
      <c r="P43" s="424"/>
      <c r="Q43" s="426"/>
      <c r="R43" s="427">
        <f t="shared" si="10"/>
        <v>0</v>
      </c>
      <c r="S43" s="438"/>
    </row>
    <row r="44" spans="1:19" s="439" customFormat="1" x14ac:dyDescent="0.3">
      <c r="A44" s="736"/>
      <c r="B44" s="739"/>
      <c r="C44" s="394" t="s">
        <v>33</v>
      </c>
      <c r="D44" s="420"/>
      <c r="E44" s="421"/>
      <c r="F44" s="422"/>
      <c r="G44" s="423"/>
      <c r="H44" s="424"/>
      <c r="I44" s="425">
        <f t="shared" si="7"/>
        <v>0</v>
      </c>
      <c r="J44" s="423"/>
      <c r="K44" s="424"/>
      <c r="L44" s="425">
        <f t="shared" si="8"/>
        <v>0</v>
      </c>
      <c r="M44" s="424">
        <v>0</v>
      </c>
      <c r="N44" s="424">
        <v>0</v>
      </c>
      <c r="O44" s="425">
        <f t="shared" si="9"/>
        <v>0</v>
      </c>
      <c r="P44" s="424"/>
      <c r="Q44" s="426"/>
      <c r="R44" s="427">
        <f t="shared" si="10"/>
        <v>0</v>
      </c>
      <c r="S44" s="438"/>
    </row>
    <row r="45" spans="1:19" s="439" customFormat="1" ht="15" thickBot="1" x14ac:dyDescent="0.35">
      <c r="A45" s="737"/>
      <c r="B45" s="740"/>
      <c r="C45" s="403" t="s">
        <v>34</v>
      </c>
      <c r="D45" s="428"/>
      <c r="E45" s="429"/>
      <c r="F45" s="430"/>
      <c r="G45" s="431"/>
      <c r="H45" s="432"/>
      <c r="I45" s="433">
        <f>H45-G45</f>
        <v>0</v>
      </c>
      <c r="J45" s="431"/>
      <c r="K45" s="432"/>
      <c r="L45" s="433">
        <f>K45-J45</f>
        <v>0</v>
      </c>
      <c r="M45" s="432">
        <v>0</v>
      </c>
      <c r="N45" s="432">
        <v>0</v>
      </c>
      <c r="O45" s="433">
        <f>N45-M45</f>
        <v>0</v>
      </c>
      <c r="P45" s="432"/>
      <c r="Q45" s="434"/>
      <c r="R45" s="435">
        <f>Q45-P45</f>
        <v>0</v>
      </c>
      <c r="S45" s="438"/>
    </row>
    <row r="46" spans="1:19" s="437" customFormat="1" ht="14.4" customHeight="1" x14ac:dyDescent="0.3">
      <c r="A46" s="735" t="s">
        <v>186</v>
      </c>
      <c r="B46" s="738" t="s">
        <v>38</v>
      </c>
      <c r="C46" s="383" t="s">
        <v>25</v>
      </c>
      <c r="D46" s="412">
        <f>SUM(G46,J46,M46,P46)</f>
        <v>0</v>
      </c>
      <c r="E46" s="413">
        <f>SUM(H46,K46,N46,Q46)</f>
        <v>0</v>
      </c>
      <c r="F46" s="414">
        <f>D46-E46</f>
        <v>0</v>
      </c>
      <c r="G46" s="415"/>
      <c r="H46" s="416"/>
      <c r="I46" s="417">
        <f t="shared" ref="I46:I54" si="11">H46-G46</f>
        <v>0</v>
      </c>
      <c r="J46" s="416"/>
      <c r="K46" s="416"/>
      <c r="L46" s="417">
        <f t="shared" ref="L46:L54" si="12">K46-J46</f>
        <v>0</v>
      </c>
      <c r="M46" s="416"/>
      <c r="N46" s="416"/>
      <c r="O46" s="417">
        <f t="shared" ref="O46:O54" si="13">N46-M46</f>
        <v>0</v>
      </c>
      <c r="P46" s="416">
        <v>0</v>
      </c>
      <c r="Q46" s="418">
        <v>0</v>
      </c>
      <c r="R46" s="419">
        <f t="shared" si="10"/>
        <v>0</v>
      </c>
      <c r="S46" s="436">
        <f>'Analyza citlivosti - AgendovéIS'!Q7</f>
        <v>0</v>
      </c>
    </row>
    <row r="47" spans="1:19" s="439" customFormat="1" x14ac:dyDescent="0.3">
      <c r="A47" s="736"/>
      <c r="B47" s="739"/>
      <c r="C47" s="394" t="s">
        <v>26</v>
      </c>
      <c r="D47" s="420">
        <f t="shared" ref="D47:D55" si="14">SUM(G47,J47,M47,P47)</f>
        <v>0</v>
      </c>
      <c r="E47" s="421">
        <f t="shared" ref="E47:E55" si="15">SUM(H47,K47,N47,Q47)</f>
        <v>0</v>
      </c>
      <c r="F47" s="422">
        <f t="shared" ref="F47:F55" si="16">D47-E47</f>
        <v>0</v>
      </c>
      <c r="G47" s="423"/>
      <c r="H47" s="424"/>
      <c r="I47" s="425">
        <f t="shared" si="11"/>
        <v>0</v>
      </c>
      <c r="J47" s="424"/>
      <c r="K47" s="424"/>
      <c r="L47" s="425">
        <f t="shared" si="12"/>
        <v>0</v>
      </c>
      <c r="M47" s="424"/>
      <c r="N47" s="424"/>
      <c r="O47" s="425">
        <f t="shared" si="13"/>
        <v>0</v>
      </c>
      <c r="P47" s="424">
        <v>0</v>
      </c>
      <c r="Q47" s="426">
        <v>0</v>
      </c>
      <c r="R47" s="427">
        <f t="shared" si="10"/>
        <v>0</v>
      </c>
      <c r="S47" s="438"/>
    </row>
    <row r="48" spans="1:19" s="439" customFormat="1" x14ac:dyDescent="0.3">
      <c r="A48" s="736"/>
      <c r="B48" s="739"/>
      <c r="C48" s="394" t="s">
        <v>27</v>
      </c>
      <c r="D48" s="420">
        <f t="shared" si="14"/>
        <v>0</v>
      </c>
      <c r="E48" s="421">
        <f t="shared" si="15"/>
        <v>0</v>
      </c>
      <c r="F48" s="422">
        <f t="shared" si="16"/>
        <v>0</v>
      </c>
      <c r="G48" s="423"/>
      <c r="H48" s="424"/>
      <c r="I48" s="425">
        <f t="shared" si="11"/>
        <v>0</v>
      </c>
      <c r="J48" s="424"/>
      <c r="K48" s="424"/>
      <c r="L48" s="425">
        <f t="shared" si="12"/>
        <v>0</v>
      </c>
      <c r="M48" s="424"/>
      <c r="N48" s="424"/>
      <c r="O48" s="425">
        <f t="shared" si="13"/>
        <v>0</v>
      </c>
      <c r="P48" s="424">
        <v>0</v>
      </c>
      <c r="Q48" s="426">
        <v>0</v>
      </c>
      <c r="R48" s="427">
        <f t="shared" si="10"/>
        <v>0</v>
      </c>
      <c r="S48" s="438"/>
    </row>
    <row r="49" spans="1:19" s="439" customFormat="1" x14ac:dyDescent="0.3">
      <c r="A49" s="736"/>
      <c r="B49" s="739"/>
      <c r="C49" s="394" t="s">
        <v>28</v>
      </c>
      <c r="D49" s="420">
        <f t="shared" si="14"/>
        <v>0</v>
      </c>
      <c r="E49" s="421">
        <f t="shared" si="15"/>
        <v>0</v>
      </c>
      <c r="F49" s="422">
        <f t="shared" si="16"/>
        <v>0</v>
      </c>
      <c r="G49" s="423"/>
      <c r="H49" s="424"/>
      <c r="I49" s="425">
        <f t="shared" si="11"/>
        <v>0</v>
      </c>
      <c r="J49" s="424"/>
      <c r="K49" s="424"/>
      <c r="L49" s="425">
        <f t="shared" si="12"/>
        <v>0</v>
      </c>
      <c r="M49" s="424"/>
      <c r="N49" s="424"/>
      <c r="O49" s="425">
        <f t="shared" si="13"/>
        <v>0</v>
      </c>
      <c r="P49" s="424">
        <v>0</v>
      </c>
      <c r="Q49" s="426">
        <v>0</v>
      </c>
      <c r="R49" s="427">
        <f t="shared" si="10"/>
        <v>0</v>
      </c>
      <c r="S49" s="438"/>
    </row>
    <row r="50" spans="1:19" s="439" customFormat="1" x14ac:dyDescent="0.3">
      <c r="A50" s="736"/>
      <c r="B50" s="739"/>
      <c r="C50" s="394" t="s">
        <v>29</v>
      </c>
      <c r="D50" s="420">
        <f t="shared" si="14"/>
        <v>0</v>
      </c>
      <c r="E50" s="421">
        <f t="shared" si="15"/>
        <v>0</v>
      </c>
      <c r="F50" s="422">
        <f t="shared" si="16"/>
        <v>0</v>
      </c>
      <c r="G50" s="423"/>
      <c r="H50" s="424"/>
      <c r="I50" s="425">
        <f t="shared" si="11"/>
        <v>0</v>
      </c>
      <c r="J50" s="424"/>
      <c r="K50" s="424"/>
      <c r="L50" s="425">
        <f t="shared" si="12"/>
        <v>0</v>
      </c>
      <c r="M50" s="424"/>
      <c r="N50" s="424"/>
      <c r="O50" s="425">
        <f t="shared" si="13"/>
        <v>0</v>
      </c>
      <c r="P50" s="424">
        <v>0</v>
      </c>
      <c r="Q50" s="426">
        <v>0</v>
      </c>
      <c r="R50" s="427">
        <f t="shared" si="10"/>
        <v>0</v>
      </c>
      <c r="S50" s="438"/>
    </row>
    <row r="51" spans="1:19" s="439" customFormat="1" x14ac:dyDescent="0.3">
      <c r="A51" s="736"/>
      <c r="B51" s="739"/>
      <c r="C51" s="394" t="s">
        <v>30</v>
      </c>
      <c r="D51" s="420">
        <f t="shared" si="14"/>
        <v>0</v>
      </c>
      <c r="E51" s="421">
        <f t="shared" si="15"/>
        <v>0</v>
      </c>
      <c r="F51" s="422">
        <f t="shared" si="16"/>
        <v>0</v>
      </c>
      <c r="G51" s="423"/>
      <c r="H51" s="424"/>
      <c r="I51" s="425">
        <f t="shared" si="11"/>
        <v>0</v>
      </c>
      <c r="J51" s="424"/>
      <c r="K51" s="424"/>
      <c r="L51" s="425">
        <f t="shared" si="12"/>
        <v>0</v>
      </c>
      <c r="M51" s="424"/>
      <c r="N51" s="424"/>
      <c r="O51" s="425">
        <f t="shared" si="13"/>
        <v>0</v>
      </c>
      <c r="P51" s="424">
        <v>0</v>
      </c>
      <c r="Q51" s="426">
        <v>0</v>
      </c>
      <c r="R51" s="427">
        <f t="shared" si="10"/>
        <v>0</v>
      </c>
      <c r="S51" s="438"/>
    </row>
    <row r="52" spans="1:19" s="439" customFormat="1" x14ac:dyDescent="0.3">
      <c r="A52" s="736"/>
      <c r="B52" s="739"/>
      <c r="C52" s="394" t="s">
        <v>31</v>
      </c>
      <c r="D52" s="420">
        <f t="shared" si="14"/>
        <v>0</v>
      </c>
      <c r="E52" s="421">
        <f t="shared" si="15"/>
        <v>0</v>
      </c>
      <c r="F52" s="422">
        <f t="shared" si="16"/>
        <v>0</v>
      </c>
      <c r="G52" s="423"/>
      <c r="H52" s="424"/>
      <c r="I52" s="425">
        <f t="shared" si="11"/>
        <v>0</v>
      </c>
      <c r="J52" s="424"/>
      <c r="K52" s="424"/>
      <c r="L52" s="425">
        <f t="shared" si="12"/>
        <v>0</v>
      </c>
      <c r="M52" s="424"/>
      <c r="N52" s="424"/>
      <c r="O52" s="425">
        <f t="shared" si="13"/>
        <v>0</v>
      </c>
      <c r="P52" s="424">
        <v>0</v>
      </c>
      <c r="Q52" s="426">
        <v>0</v>
      </c>
      <c r="R52" s="427">
        <f t="shared" si="10"/>
        <v>0</v>
      </c>
      <c r="S52" s="438"/>
    </row>
    <row r="53" spans="1:19" s="439" customFormat="1" x14ac:dyDescent="0.3">
      <c r="A53" s="736"/>
      <c r="B53" s="739"/>
      <c r="C53" s="394" t="s">
        <v>32</v>
      </c>
      <c r="D53" s="420">
        <f t="shared" si="14"/>
        <v>0</v>
      </c>
      <c r="E53" s="421">
        <f t="shared" si="15"/>
        <v>0</v>
      </c>
      <c r="F53" s="422">
        <f t="shared" si="16"/>
        <v>0</v>
      </c>
      <c r="G53" s="423"/>
      <c r="H53" s="424"/>
      <c r="I53" s="425">
        <f t="shared" si="11"/>
        <v>0</v>
      </c>
      <c r="J53" s="424"/>
      <c r="K53" s="424"/>
      <c r="L53" s="425">
        <f t="shared" si="12"/>
        <v>0</v>
      </c>
      <c r="M53" s="424"/>
      <c r="N53" s="424"/>
      <c r="O53" s="425">
        <f t="shared" si="13"/>
        <v>0</v>
      </c>
      <c r="P53" s="424">
        <v>0</v>
      </c>
      <c r="Q53" s="426">
        <v>0</v>
      </c>
      <c r="R53" s="427">
        <f t="shared" si="10"/>
        <v>0</v>
      </c>
      <c r="S53" s="438"/>
    </row>
    <row r="54" spans="1:19" s="439" customFormat="1" x14ac:dyDescent="0.3">
      <c r="A54" s="736"/>
      <c r="B54" s="739"/>
      <c r="C54" s="394" t="s">
        <v>33</v>
      </c>
      <c r="D54" s="420">
        <f t="shared" si="14"/>
        <v>0</v>
      </c>
      <c r="E54" s="421">
        <f t="shared" si="15"/>
        <v>0</v>
      </c>
      <c r="F54" s="422">
        <f t="shared" si="16"/>
        <v>0</v>
      </c>
      <c r="G54" s="423"/>
      <c r="H54" s="424"/>
      <c r="I54" s="425">
        <f t="shared" si="11"/>
        <v>0</v>
      </c>
      <c r="J54" s="424"/>
      <c r="K54" s="424"/>
      <c r="L54" s="425">
        <f t="shared" si="12"/>
        <v>0</v>
      </c>
      <c r="M54" s="424"/>
      <c r="N54" s="424"/>
      <c r="O54" s="425">
        <f t="shared" si="13"/>
        <v>0</v>
      </c>
      <c r="P54" s="424">
        <v>0</v>
      </c>
      <c r="Q54" s="426">
        <v>0</v>
      </c>
      <c r="R54" s="427">
        <f t="shared" si="10"/>
        <v>0</v>
      </c>
      <c r="S54" s="438"/>
    </row>
    <row r="55" spans="1:19" s="439" customFormat="1" ht="15" thickBot="1" x14ac:dyDescent="0.35">
      <c r="A55" s="737"/>
      <c r="B55" s="740"/>
      <c r="C55" s="403" t="s">
        <v>34</v>
      </c>
      <c r="D55" s="428">
        <f t="shared" si="14"/>
        <v>0</v>
      </c>
      <c r="E55" s="429">
        <f t="shared" si="15"/>
        <v>0</v>
      </c>
      <c r="F55" s="430">
        <f t="shared" si="16"/>
        <v>0</v>
      </c>
      <c r="G55" s="431"/>
      <c r="H55" s="432"/>
      <c r="I55" s="433">
        <f>H55-G55</f>
        <v>0</v>
      </c>
      <c r="J55" s="432"/>
      <c r="K55" s="432"/>
      <c r="L55" s="433">
        <f>K55-J55</f>
        <v>0</v>
      </c>
      <c r="M55" s="432"/>
      <c r="N55" s="432"/>
      <c r="O55" s="433">
        <f>N55-M55</f>
        <v>0</v>
      </c>
      <c r="P55" s="432">
        <v>0</v>
      </c>
      <c r="Q55" s="434">
        <v>0</v>
      </c>
      <c r="R55" s="435">
        <f>Q55-P55</f>
        <v>0</v>
      </c>
      <c r="S55" s="438"/>
    </row>
    <row r="56" spans="1:19" s="437" customFormat="1" ht="14.25" customHeight="1" x14ac:dyDescent="0.3">
      <c r="A56" s="736" t="s">
        <v>39</v>
      </c>
      <c r="B56" s="739" t="s">
        <v>13</v>
      </c>
      <c r="C56" s="394" t="s">
        <v>25</v>
      </c>
      <c r="D56" s="384">
        <f>G56+J56+M56+P56</f>
        <v>0</v>
      </c>
      <c r="E56" s="385">
        <f>H56+K56+N56+Q56</f>
        <v>0</v>
      </c>
      <c r="F56" s="386">
        <f>I56+L56+O56+R56</f>
        <v>0</v>
      </c>
      <c r="G56" s="387"/>
      <c r="H56" s="388"/>
      <c r="I56" s="389">
        <f t="shared" ref="I56:I65" si="17">H56-G56</f>
        <v>0</v>
      </c>
      <c r="J56" s="388"/>
      <c r="K56" s="388"/>
      <c r="L56" s="389">
        <f t="shared" ref="L56:L65" si="18">K56-J56</f>
        <v>0</v>
      </c>
      <c r="M56" s="388"/>
      <c r="N56" s="388"/>
      <c r="O56" s="389">
        <f t="shared" ref="O56:O65" si="19">N56-M56</f>
        <v>0</v>
      </c>
      <c r="P56" s="388"/>
      <c r="Q56" s="390"/>
      <c r="R56" s="391">
        <f t="shared" ref="R56:R65" si="20">Q56-P56</f>
        <v>0</v>
      </c>
      <c r="S56" s="436"/>
    </row>
    <row r="57" spans="1:19" s="439" customFormat="1" x14ac:dyDescent="0.3">
      <c r="A57" s="736"/>
      <c r="B57" s="739"/>
      <c r="C57" s="394" t="s">
        <v>26</v>
      </c>
      <c r="D57" s="395">
        <f t="shared" ref="D57:D65" si="21">G57+J57+M57+P57</f>
        <v>0</v>
      </c>
      <c r="E57" s="396">
        <f t="shared" ref="E57:E65" si="22">H57+K57+N57+Q57</f>
        <v>0</v>
      </c>
      <c r="F57" s="397">
        <f t="shared" ref="F57:F65" si="23">I57+L57+O57+R57</f>
        <v>0</v>
      </c>
      <c r="G57" s="398"/>
      <c r="H57" s="399"/>
      <c r="I57" s="400">
        <f t="shared" si="17"/>
        <v>0</v>
      </c>
      <c r="J57" s="399"/>
      <c r="K57" s="399"/>
      <c r="L57" s="400">
        <f t="shared" si="18"/>
        <v>0</v>
      </c>
      <c r="M57" s="399"/>
      <c r="N57" s="399"/>
      <c r="O57" s="400">
        <f t="shared" si="19"/>
        <v>0</v>
      </c>
      <c r="P57" s="399"/>
      <c r="Q57" s="401"/>
      <c r="R57" s="402">
        <f t="shared" si="20"/>
        <v>0</v>
      </c>
      <c r="S57" s="438"/>
    </row>
    <row r="58" spans="1:19" s="439" customFormat="1" x14ac:dyDescent="0.3">
      <c r="A58" s="736"/>
      <c r="B58" s="739"/>
      <c r="C58" s="394" t="s">
        <v>27</v>
      </c>
      <c r="D58" s="395">
        <f t="shared" si="21"/>
        <v>0</v>
      </c>
      <c r="E58" s="396">
        <f t="shared" si="22"/>
        <v>0</v>
      </c>
      <c r="F58" s="397">
        <f t="shared" si="23"/>
        <v>0</v>
      </c>
      <c r="G58" s="398"/>
      <c r="H58" s="399">
        <f>H8*2849.28</f>
        <v>0</v>
      </c>
      <c r="I58" s="400">
        <f t="shared" si="17"/>
        <v>0</v>
      </c>
      <c r="J58" s="399"/>
      <c r="K58" s="399">
        <f>K8*2849.28</f>
        <v>0</v>
      </c>
      <c r="L58" s="400">
        <f t="shared" si="18"/>
        <v>0</v>
      </c>
      <c r="M58" s="399"/>
      <c r="N58" s="399"/>
      <c r="O58" s="400">
        <f t="shared" si="19"/>
        <v>0</v>
      </c>
      <c r="P58" s="399"/>
      <c r="Q58" s="401"/>
      <c r="R58" s="402">
        <f t="shared" si="20"/>
        <v>0</v>
      </c>
      <c r="S58" s="438"/>
    </row>
    <row r="59" spans="1:19" s="439" customFormat="1" x14ac:dyDescent="0.3">
      <c r="A59" s="736"/>
      <c r="B59" s="739"/>
      <c r="C59" s="394" t="s">
        <v>28</v>
      </c>
      <c r="D59" s="395">
        <f t="shared" si="21"/>
        <v>0</v>
      </c>
      <c r="E59" s="396">
        <f t="shared" si="22"/>
        <v>0</v>
      </c>
      <c r="F59" s="397">
        <f t="shared" si="23"/>
        <v>0</v>
      </c>
      <c r="G59" s="398"/>
      <c r="H59" s="399">
        <f t="shared" ref="H59:H65" si="24">H9*2849.28</f>
        <v>0</v>
      </c>
      <c r="I59" s="400">
        <f t="shared" si="17"/>
        <v>0</v>
      </c>
      <c r="J59" s="399"/>
      <c r="K59" s="399">
        <f t="shared" ref="K59:K65" si="25">K9*2849.28</f>
        <v>0</v>
      </c>
      <c r="L59" s="400">
        <f t="shared" si="18"/>
        <v>0</v>
      </c>
      <c r="M59" s="399"/>
      <c r="N59" s="399"/>
      <c r="O59" s="400">
        <f t="shared" si="19"/>
        <v>0</v>
      </c>
      <c r="P59" s="399"/>
      <c r="Q59" s="401"/>
      <c r="R59" s="402">
        <f t="shared" si="20"/>
        <v>0</v>
      </c>
      <c r="S59" s="438"/>
    </row>
    <row r="60" spans="1:19" s="439" customFormat="1" x14ac:dyDescent="0.3">
      <c r="A60" s="736"/>
      <c r="B60" s="739"/>
      <c r="C60" s="394" t="s">
        <v>29</v>
      </c>
      <c r="D60" s="395">
        <f t="shared" si="21"/>
        <v>0</v>
      </c>
      <c r="E60" s="396">
        <f t="shared" si="22"/>
        <v>0</v>
      </c>
      <c r="F60" s="397">
        <f t="shared" si="23"/>
        <v>0</v>
      </c>
      <c r="G60" s="398"/>
      <c r="H60" s="399">
        <f t="shared" si="24"/>
        <v>0</v>
      </c>
      <c r="I60" s="400">
        <f t="shared" si="17"/>
        <v>0</v>
      </c>
      <c r="J60" s="399"/>
      <c r="K60" s="399">
        <f t="shared" si="25"/>
        <v>0</v>
      </c>
      <c r="L60" s="400">
        <f t="shared" si="18"/>
        <v>0</v>
      </c>
      <c r="M60" s="399"/>
      <c r="N60" s="399"/>
      <c r="O60" s="400">
        <f t="shared" si="19"/>
        <v>0</v>
      </c>
      <c r="P60" s="399"/>
      <c r="Q60" s="401"/>
      <c r="R60" s="402">
        <f t="shared" si="20"/>
        <v>0</v>
      </c>
      <c r="S60" s="438"/>
    </row>
    <row r="61" spans="1:19" s="439" customFormat="1" x14ac:dyDescent="0.3">
      <c r="A61" s="736"/>
      <c r="B61" s="739"/>
      <c r="C61" s="394" t="s">
        <v>30</v>
      </c>
      <c r="D61" s="395">
        <f t="shared" si="21"/>
        <v>0</v>
      </c>
      <c r="E61" s="396">
        <f t="shared" si="22"/>
        <v>0</v>
      </c>
      <c r="F61" s="397">
        <f t="shared" si="23"/>
        <v>0</v>
      </c>
      <c r="G61" s="398"/>
      <c r="H61" s="399">
        <f t="shared" si="24"/>
        <v>0</v>
      </c>
      <c r="I61" s="400">
        <f t="shared" si="17"/>
        <v>0</v>
      </c>
      <c r="J61" s="399"/>
      <c r="K61" s="399">
        <f t="shared" si="25"/>
        <v>0</v>
      </c>
      <c r="L61" s="400">
        <f t="shared" si="18"/>
        <v>0</v>
      </c>
      <c r="M61" s="399"/>
      <c r="N61" s="399"/>
      <c r="O61" s="400">
        <f t="shared" si="19"/>
        <v>0</v>
      </c>
      <c r="P61" s="399"/>
      <c r="Q61" s="401"/>
      <c r="R61" s="402">
        <f t="shared" si="20"/>
        <v>0</v>
      </c>
      <c r="S61" s="438"/>
    </row>
    <row r="62" spans="1:19" s="439" customFormat="1" x14ac:dyDescent="0.3">
      <c r="A62" s="736"/>
      <c r="B62" s="739"/>
      <c r="C62" s="394" t="s">
        <v>31</v>
      </c>
      <c r="D62" s="395">
        <f t="shared" si="21"/>
        <v>0</v>
      </c>
      <c r="E62" s="396">
        <f t="shared" si="22"/>
        <v>0</v>
      </c>
      <c r="F62" s="397">
        <f t="shared" si="23"/>
        <v>0</v>
      </c>
      <c r="G62" s="398"/>
      <c r="H62" s="399">
        <f t="shared" si="24"/>
        <v>0</v>
      </c>
      <c r="I62" s="400">
        <f t="shared" si="17"/>
        <v>0</v>
      </c>
      <c r="J62" s="399"/>
      <c r="K62" s="399">
        <f t="shared" si="25"/>
        <v>0</v>
      </c>
      <c r="L62" s="400">
        <f t="shared" si="18"/>
        <v>0</v>
      </c>
      <c r="M62" s="399"/>
      <c r="N62" s="399"/>
      <c r="O62" s="400">
        <f t="shared" si="19"/>
        <v>0</v>
      </c>
      <c r="P62" s="399"/>
      <c r="Q62" s="401"/>
      <c r="R62" s="402">
        <f t="shared" si="20"/>
        <v>0</v>
      </c>
      <c r="S62" s="438"/>
    </row>
    <row r="63" spans="1:19" s="439" customFormat="1" x14ac:dyDescent="0.3">
      <c r="A63" s="736"/>
      <c r="B63" s="739"/>
      <c r="C63" s="394" t="s">
        <v>32</v>
      </c>
      <c r="D63" s="395">
        <f t="shared" si="21"/>
        <v>0</v>
      </c>
      <c r="E63" s="396">
        <f t="shared" si="22"/>
        <v>0</v>
      </c>
      <c r="F63" s="397">
        <f t="shared" si="23"/>
        <v>0</v>
      </c>
      <c r="G63" s="398"/>
      <c r="H63" s="399">
        <f t="shared" si="24"/>
        <v>0</v>
      </c>
      <c r="I63" s="400">
        <f t="shared" si="17"/>
        <v>0</v>
      </c>
      <c r="J63" s="399"/>
      <c r="K63" s="399">
        <f t="shared" si="25"/>
        <v>0</v>
      </c>
      <c r="L63" s="400">
        <f t="shared" si="18"/>
        <v>0</v>
      </c>
      <c r="M63" s="399"/>
      <c r="N63" s="399"/>
      <c r="O63" s="400">
        <f t="shared" si="19"/>
        <v>0</v>
      </c>
      <c r="P63" s="399"/>
      <c r="Q63" s="401"/>
      <c r="R63" s="402">
        <f t="shared" si="20"/>
        <v>0</v>
      </c>
      <c r="S63" s="438"/>
    </row>
    <row r="64" spans="1:19" s="439" customFormat="1" x14ac:dyDescent="0.3">
      <c r="A64" s="736"/>
      <c r="B64" s="739"/>
      <c r="C64" s="394" t="s">
        <v>33</v>
      </c>
      <c r="D64" s="395">
        <f t="shared" si="21"/>
        <v>0</v>
      </c>
      <c r="E64" s="396">
        <f t="shared" si="22"/>
        <v>0</v>
      </c>
      <c r="F64" s="397">
        <f t="shared" si="23"/>
        <v>0</v>
      </c>
      <c r="G64" s="398"/>
      <c r="H64" s="399">
        <f t="shared" si="24"/>
        <v>0</v>
      </c>
      <c r="I64" s="400">
        <f t="shared" si="17"/>
        <v>0</v>
      </c>
      <c r="J64" s="399"/>
      <c r="K64" s="399">
        <f t="shared" si="25"/>
        <v>0</v>
      </c>
      <c r="L64" s="400">
        <f t="shared" si="18"/>
        <v>0</v>
      </c>
      <c r="M64" s="399"/>
      <c r="N64" s="399"/>
      <c r="O64" s="400">
        <f t="shared" si="19"/>
        <v>0</v>
      </c>
      <c r="P64" s="399"/>
      <c r="Q64" s="401"/>
      <c r="R64" s="402">
        <f t="shared" si="20"/>
        <v>0</v>
      </c>
      <c r="S64" s="438"/>
    </row>
    <row r="65" spans="1:19" s="441" customFormat="1" ht="15" thickBot="1" x14ac:dyDescent="0.35">
      <c r="A65" s="737"/>
      <c r="B65" s="740"/>
      <c r="C65" s="403" t="s">
        <v>34</v>
      </c>
      <c r="D65" s="404">
        <f t="shared" si="21"/>
        <v>0</v>
      </c>
      <c r="E65" s="405">
        <f t="shared" si="22"/>
        <v>0</v>
      </c>
      <c r="F65" s="406">
        <f t="shared" si="23"/>
        <v>0</v>
      </c>
      <c r="G65" s="407"/>
      <c r="H65" s="399">
        <f t="shared" si="24"/>
        <v>0</v>
      </c>
      <c r="I65" s="409">
        <f t="shared" si="17"/>
        <v>0</v>
      </c>
      <c r="J65" s="408"/>
      <c r="K65" s="399">
        <f t="shared" si="25"/>
        <v>0</v>
      </c>
      <c r="L65" s="409">
        <f t="shared" si="18"/>
        <v>0</v>
      </c>
      <c r="M65" s="408"/>
      <c r="N65" s="408"/>
      <c r="O65" s="409">
        <f t="shared" si="19"/>
        <v>0</v>
      </c>
      <c r="P65" s="408"/>
      <c r="Q65" s="410"/>
      <c r="R65" s="411">
        <f t="shared" si="20"/>
        <v>0</v>
      </c>
      <c r="S65" s="440"/>
    </row>
    <row r="66" spans="1:19" s="439" customFormat="1" ht="15" thickBot="1" x14ac:dyDescent="0.35">
      <c r="A66" s="442"/>
      <c r="B66" s="443"/>
      <c r="C66" s="444"/>
      <c r="D66" s="443"/>
      <c r="E66" s="443"/>
      <c r="F66" s="445" t="s">
        <v>107</v>
      </c>
      <c r="G66" s="446"/>
      <c r="H66" s="446"/>
      <c r="I66" s="447"/>
      <c r="J66" s="446"/>
      <c r="K66" s="446"/>
      <c r="L66" s="447"/>
      <c r="M66" s="446"/>
      <c r="N66" s="446"/>
      <c r="O66" s="447"/>
      <c r="P66" s="446"/>
      <c r="Q66" s="448"/>
      <c r="R66" s="449"/>
      <c r="S66" s="438"/>
    </row>
    <row r="67" spans="1:19" s="439" customFormat="1" x14ac:dyDescent="0.3">
      <c r="A67" s="752" t="s">
        <v>315</v>
      </c>
      <c r="B67" s="754" t="s">
        <v>37</v>
      </c>
      <c r="C67" s="450" t="s">
        <v>25</v>
      </c>
      <c r="D67" s="451">
        <f>G67+J67+M67+P67</f>
        <v>0</v>
      </c>
      <c r="E67" s="452">
        <f t="shared" ref="E67:F76" si="26">H67+K67+N67+Q67</f>
        <v>0</v>
      </c>
      <c r="F67" s="453">
        <f t="shared" si="26"/>
        <v>0</v>
      </c>
      <c r="G67" s="454">
        <f t="shared" ref="G67:G76" si="27">G6</f>
        <v>0</v>
      </c>
      <c r="H67" s="455">
        <f t="shared" ref="H67:H76" si="28">H6*(1+$S$67)</f>
        <v>0</v>
      </c>
      <c r="I67" s="456">
        <f>H67-G67</f>
        <v>0</v>
      </c>
      <c r="J67" s="455">
        <f t="shared" ref="J67:J76" si="29">J6</f>
        <v>0</v>
      </c>
      <c r="K67" s="455">
        <f t="shared" ref="K67:K76" si="30">K6*(1+$S$67)</f>
        <v>0</v>
      </c>
      <c r="L67" s="456">
        <f t="shared" ref="L67:L76" si="31">K67-J67</f>
        <v>0</v>
      </c>
      <c r="M67" s="455">
        <f t="shared" ref="M67:M76" si="32">M6</f>
        <v>0</v>
      </c>
      <c r="N67" s="455">
        <f t="shared" ref="N67:N76" si="33">N6*(1+$S$67)</f>
        <v>0</v>
      </c>
      <c r="O67" s="456">
        <f t="shared" ref="O67:O76" si="34">N67-M67</f>
        <v>0</v>
      </c>
      <c r="P67" s="455">
        <f t="shared" ref="P67:P76" si="35">P6</f>
        <v>0</v>
      </c>
      <c r="Q67" s="457">
        <f t="shared" ref="Q67:Q76" si="36">Q6*(1+$S$67)</f>
        <v>0</v>
      </c>
      <c r="R67" s="458">
        <f t="shared" ref="R67:R76" si="37">Q67-P67</f>
        <v>0</v>
      </c>
      <c r="S67" s="459">
        <f>'Analyza citlivosti - AgendovéIS'!K7</f>
        <v>0</v>
      </c>
    </row>
    <row r="68" spans="1:19" s="439" customFormat="1" x14ac:dyDescent="0.3">
      <c r="A68" s="752"/>
      <c r="B68" s="754"/>
      <c r="C68" s="450" t="s">
        <v>26</v>
      </c>
      <c r="D68" s="451">
        <f t="shared" ref="D68:D76" si="38">G68+J68+M68+P68</f>
        <v>0</v>
      </c>
      <c r="E68" s="452">
        <f t="shared" si="26"/>
        <v>0</v>
      </c>
      <c r="F68" s="453">
        <f t="shared" si="26"/>
        <v>0</v>
      </c>
      <c r="G68" s="460">
        <f t="shared" si="27"/>
        <v>0</v>
      </c>
      <c r="H68" s="461">
        <f t="shared" si="28"/>
        <v>0</v>
      </c>
      <c r="I68" s="400">
        <f t="shared" ref="I68:I76" si="39">H68-G68</f>
        <v>0</v>
      </c>
      <c r="J68" s="461">
        <f t="shared" si="29"/>
        <v>0</v>
      </c>
      <c r="K68" s="461">
        <f t="shared" si="30"/>
        <v>0</v>
      </c>
      <c r="L68" s="400">
        <f t="shared" si="31"/>
        <v>0</v>
      </c>
      <c r="M68" s="461">
        <f t="shared" si="32"/>
        <v>0</v>
      </c>
      <c r="N68" s="461">
        <f t="shared" si="33"/>
        <v>0</v>
      </c>
      <c r="O68" s="400">
        <f t="shared" si="34"/>
        <v>0</v>
      </c>
      <c r="P68" s="461">
        <f t="shared" si="35"/>
        <v>0</v>
      </c>
      <c r="Q68" s="462">
        <f t="shared" si="36"/>
        <v>0</v>
      </c>
      <c r="R68" s="402">
        <f t="shared" si="37"/>
        <v>0</v>
      </c>
      <c r="S68" s="438"/>
    </row>
    <row r="69" spans="1:19" s="439" customFormat="1" x14ac:dyDescent="0.3">
      <c r="A69" s="752"/>
      <c r="B69" s="754"/>
      <c r="C69" s="450" t="s">
        <v>27</v>
      </c>
      <c r="D69" s="451">
        <f t="shared" si="38"/>
        <v>0</v>
      </c>
      <c r="E69" s="452">
        <f t="shared" si="26"/>
        <v>0</v>
      </c>
      <c r="F69" s="453">
        <f t="shared" si="26"/>
        <v>0</v>
      </c>
      <c r="G69" s="460">
        <f t="shared" si="27"/>
        <v>0</v>
      </c>
      <c r="H69" s="461">
        <f t="shared" si="28"/>
        <v>0</v>
      </c>
      <c r="I69" s="400">
        <f t="shared" si="39"/>
        <v>0</v>
      </c>
      <c r="J69" s="461">
        <f t="shared" si="29"/>
        <v>0</v>
      </c>
      <c r="K69" s="461">
        <f t="shared" si="30"/>
        <v>0</v>
      </c>
      <c r="L69" s="400">
        <f t="shared" si="31"/>
        <v>0</v>
      </c>
      <c r="M69" s="461">
        <f t="shared" si="32"/>
        <v>0</v>
      </c>
      <c r="N69" s="461">
        <f t="shared" si="33"/>
        <v>0</v>
      </c>
      <c r="O69" s="400">
        <f t="shared" si="34"/>
        <v>0</v>
      </c>
      <c r="P69" s="461">
        <f t="shared" si="35"/>
        <v>0</v>
      </c>
      <c r="Q69" s="462">
        <f t="shared" si="36"/>
        <v>0</v>
      </c>
      <c r="R69" s="402">
        <f t="shared" si="37"/>
        <v>0</v>
      </c>
      <c r="S69" s="438"/>
    </row>
    <row r="70" spans="1:19" s="439" customFormat="1" x14ac:dyDescent="0.3">
      <c r="A70" s="752"/>
      <c r="B70" s="754"/>
      <c r="C70" s="450" t="s">
        <v>28</v>
      </c>
      <c r="D70" s="451">
        <f t="shared" si="38"/>
        <v>0</v>
      </c>
      <c r="E70" s="452">
        <f t="shared" si="26"/>
        <v>0</v>
      </c>
      <c r="F70" s="453">
        <f t="shared" si="26"/>
        <v>0</v>
      </c>
      <c r="G70" s="460">
        <f t="shared" si="27"/>
        <v>0</v>
      </c>
      <c r="H70" s="461">
        <f t="shared" si="28"/>
        <v>0</v>
      </c>
      <c r="I70" s="400">
        <f t="shared" si="39"/>
        <v>0</v>
      </c>
      <c r="J70" s="461">
        <f t="shared" si="29"/>
        <v>0</v>
      </c>
      <c r="K70" s="461">
        <f t="shared" si="30"/>
        <v>0</v>
      </c>
      <c r="L70" s="400">
        <f t="shared" si="31"/>
        <v>0</v>
      </c>
      <c r="M70" s="461">
        <f t="shared" si="32"/>
        <v>0</v>
      </c>
      <c r="N70" s="461">
        <f t="shared" si="33"/>
        <v>0</v>
      </c>
      <c r="O70" s="400">
        <f t="shared" si="34"/>
        <v>0</v>
      </c>
      <c r="P70" s="461">
        <f t="shared" si="35"/>
        <v>0</v>
      </c>
      <c r="Q70" s="462">
        <f t="shared" si="36"/>
        <v>0</v>
      </c>
      <c r="R70" s="402">
        <f t="shared" si="37"/>
        <v>0</v>
      </c>
      <c r="S70" s="438"/>
    </row>
    <row r="71" spans="1:19" s="439" customFormat="1" x14ac:dyDescent="0.3">
      <c r="A71" s="752"/>
      <c r="B71" s="754"/>
      <c r="C71" s="450" t="s">
        <v>29</v>
      </c>
      <c r="D71" s="451">
        <f t="shared" si="38"/>
        <v>0</v>
      </c>
      <c r="E71" s="452">
        <f t="shared" si="26"/>
        <v>0</v>
      </c>
      <c r="F71" s="453">
        <f t="shared" si="26"/>
        <v>0</v>
      </c>
      <c r="G71" s="460">
        <f t="shared" si="27"/>
        <v>0</v>
      </c>
      <c r="H71" s="461">
        <f t="shared" si="28"/>
        <v>0</v>
      </c>
      <c r="I71" s="400">
        <f t="shared" si="39"/>
        <v>0</v>
      </c>
      <c r="J71" s="461">
        <f t="shared" si="29"/>
        <v>0</v>
      </c>
      <c r="K71" s="461">
        <f t="shared" si="30"/>
        <v>0</v>
      </c>
      <c r="L71" s="400">
        <f t="shared" si="31"/>
        <v>0</v>
      </c>
      <c r="M71" s="461">
        <f t="shared" si="32"/>
        <v>0</v>
      </c>
      <c r="N71" s="461">
        <f t="shared" si="33"/>
        <v>0</v>
      </c>
      <c r="O71" s="400">
        <f t="shared" si="34"/>
        <v>0</v>
      </c>
      <c r="P71" s="461">
        <f t="shared" si="35"/>
        <v>0</v>
      </c>
      <c r="Q71" s="462">
        <f t="shared" si="36"/>
        <v>0</v>
      </c>
      <c r="R71" s="402">
        <f t="shared" si="37"/>
        <v>0</v>
      </c>
      <c r="S71" s="438"/>
    </row>
    <row r="72" spans="1:19" s="439" customFormat="1" x14ac:dyDescent="0.3">
      <c r="A72" s="752"/>
      <c r="B72" s="754"/>
      <c r="C72" s="450" t="s">
        <v>30</v>
      </c>
      <c r="D72" s="451">
        <f t="shared" si="38"/>
        <v>0</v>
      </c>
      <c r="E72" s="452">
        <f t="shared" si="26"/>
        <v>0</v>
      </c>
      <c r="F72" s="453">
        <f t="shared" si="26"/>
        <v>0</v>
      </c>
      <c r="G72" s="460">
        <f t="shared" si="27"/>
        <v>0</v>
      </c>
      <c r="H72" s="461">
        <f t="shared" si="28"/>
        <v>0</v>
      </c>
      <c r="I72" s="400">
        <f t="shared" si="39"/>
        <v>0</v>
      </c>
      <c r="J72" s="461">
        <f t="shared" si="29"/>
        <v>0</v>
      </c>
      <c r="K72" s="461">
        <f t="shared" si="30"/>
        <v>0</v>
      </c>
      <c r="L72" s="400">
        <f t="shared" si="31"/>
        <v>0</v>
      </c>
      <c r="M72" s="461">
        <f t="shared" si="32"/>
        <v>0</v>
      </c>
      <c r="N72" s="461">
        <f t="shared" si="33"/>
        <v>0</v>
      </c>
      <c r="O72" s="400">
        <f t="shared" si="34"/>
        <v>0</v>
      </c>
      <c r="P72" s="461">
        <f t="shared" si="35"/>
        <v>0</v>
      </c>
      <c r="Q72" s="462">
        <f t="shared" si="36"/>
        <v>0</v>
      </c>
      <c r="R72" s="402">
        <f t="shared" si="37"/>
        <v>0</v>
      </c>
      <c r="S72" s="438"/>
    </row>
    <row r="73" spans="1:19" s="439" customFormat="1" x14ac:dyDescent="0.3">
      <c r="A73" s="752"/>
      <c r="B73" s="754"/>
      <c r="C73" s="450" t="s">
        <v>31</v>
      </c>
      <c r="D73" s="451">
        <f t="shared" si="38"/>
        <v>0</v>
      </c>
      <c r="E73" s="452">
        <f t="shared" si="26"/>
        <v>0</v>
      </c>
      <c r="F73" s="453">
        <f t="shared" si="26"/>
        <v>0</v>
      </c>
      <c r="G73" s="460">
        <f t="shared" si="27"/>
        <v>0</v>
      </c>
      <c r="H73" s="461">
        <f t="shared" si="28"/>
        <v>0</v>
      </c>
      <c r="I73" s="400">
        <f t="shared" si="39"/>
        <v>0</v>
      </c>
      <c r="J73" s="461">
        <f t="shared" si="29"/>
        <v>0</v>
      </c>
      <c r="K73" s="461">
        <f t="shared" si="30"/>
        <v>0</v>
      </c>
      <c r="L73" s="400">
        <f t="shared" si="31"/>
        <v>0</v>
      </c>
      <c r="M73" s="461">
        <f t="shared" si="32"/>
        <v>0</v>
      </c>
      <c r="N73" s="461">
        <f t="shared" si="33"/>
        <v>0</v>
      </c>
      <c r="O73" s="400">
        <f t="shared" si="34"/>
        <v>0</v>
      </c>
      <c r="P73" s="461">
        <f t="shared" si="35"/>
        <v>0</v>
      </c>
      <c r="Q73" s="462">
        <f t="shared" si="36"/>
        <v>0</v>
      </c>
      <c r="R73" s="402">
        <f t="shared" si="37"/>
        <v>0</v>
      </c>
      <c r="S73" s="438"/>
    </row>
    <row r="74" spans="1:19" s="439" customFormat="1" x14ac:dyDescent="0.3">
      <c r="A74" s="752"/>
      <c r="B74" s="754"/>
      <c r="C74" s="450" t="s">
        <v>32</v>
      </c>
      <c r="D74" s="451">
        <f t="shared" si="38"/>
        <v>0</v>
      </c>
      <c r="E74" s="452">
        <f t="shared" si="26"/>
        <v>0</v>
      </c>
      <c r="F74" s="453">
        <f t="shared" si="26"/>
        <v>0</v>
      </c>
      <c r="G74" s="460">
        <f t="shared" si="27"/>
        <v>0</v>
      </c>
      <c r="H74" s="461">
        <f t="shared" si="28"/>
        <v>0</v>
      </c>
      <c r="I74" s="400">
        <f t="shared" si="39"/>
        <v>0</v>
      </c>
      <c r="J74" s="461">
        <f t="shared" si="29"/>
        <v>0</v>
      </c>
      <c r="K74" s="461">
        <f t="shared" si="30"/>
        <v>0</v>
      </c>
      <c r="L74" s="400">
        <f t="shared" si="31"/>
        <v>0</v>
      </c>
      <c r="M74" s="461">
        <f t="shared" si="32"/>
        <v>0</v>
      </c>
      <c r="N74" s="461">
        <f t="shared" si="33"/>
        <v>0</v>
      </c>
      <c r="O74" s="400">
        <f t="shared" si="34"/>
        <v>0</v>
      </c>
      <c r="P74" s="461">
        <f t="shared" si="35"/>
        <v>0</v>
      </c>
      <c r="Q74" s="462">
        <f t="shared" si="36"/>
        <v>0</v>
      </c>
      <c r="R74" s="402">
        <f t="shared" si="37"/>
        <v>0</v>
      </c>
      <c r="S74" s="438"/>
    </row>
    <row r="75" spans="1:19" s="439" customFormat="1" x14ac:dyDescent="0.3">
      <c r="A75" s="752"/>
      <c r="B75" s="754"/>
      <c r="C75" s="450" t="s">
        <v>33</v>
      </c>
      <c r="D75" s="451">
        <f t="shared" si="38"/>
        <v>0</v>
      </c>
      <c r="E75" s="452">
        <f t="shared" si="26"/>
        <v>0</v>
      </c>
      <c r="F75" s="453">
        <f t="shared" si="26"/>
        <v>0</v>
      </c>
      <c r="G75" s="460">
        <f t="shared" si="27"/>
        <v>0</v>
      </c>
      <c r="H75" s="461">
        <f t="shared" si="28"/>
        <v>0</v>
      </c>
      <c r="I75" s="400">
        <f t="shared" si="39"/>
        <v>0</v>
      </c>
      <c r="J75" s="461">
        <f t="shared" si="29"/>
        <v>0</v>
      </c>
      <c r="K75" s="461">
        <f t="shared" si="30"/>
        <v>0</v>
      </c>
      <c r="L75" s="400">
        <f t="shared" si="31"/>
        <v>0</v>
      </c>
      <c r="M75" s="461">
        <f t="shared" si="32"/>
        <v>0</v>
      </c>
      <c r="N75" s="461">
        <f t="shared" si="33"/>
        <v>0</v>
      </c>
      <c r="O75" s="400">
        <f t="shared" si="34"/>
        <v>0</v>
      </c>
      <c r="P75" s="461">
        <f t="shared" si="35"/>
        <v>0</v>
      </c>
      <c r="Q75" s="462">
        <f t="shared" si="36"/>
        <v>0</v>
      </c>
      <c r="R75" s="402">
        <f t="shared" si="37"/>
        <v>0</v>
      </c>
      <c r="S75" s="438"/>
    </row>
    <row r="76" spans="1:19" s="439" customFormat="1" ht="15" thickBot="1" x14ac:dyDescent="0.35">
      <c r="A76" s="753"/>
      <c r="B76" s="755"/>
      <c r="C76" s="463" t="s">
        <v>34</v>
      </c>
      <c r="D76" s="464">
        <f t="shared" si="38"/>
        <v>0</v>
      </c>
      <c r="E76" s="465">
        <f t="shared" si="26"/>
        <v>0</v>
      </c>
      <c r="F76" s="466">
        <f t="shared" si="26"/>
        <v>0</v>
      </c>
      <c r="G76" s="467">
        <f t="shared" si="27"/>
        <v>0</v>
      </c>
      <c r="H76" s="468">
        <f t="shared" si="28"/>
        <v>0</v>
      </c>
      <c r="I76" s="409">
        <f t="shared" si="39"/>
        <v>0</v>
      </c>
      <c r="J76" s="468">
        <f t="shared" si="29"/>
        <v>0</v>
      </c>
      <c r="K76" s="468">
        <f t="shared" si="30"/>
        <v>0</v>
      </c>
      <c r="L76" s="409">
        <f t="shared" si="31"/>
        <v>0</v>
      </c>
      <c r="M76" s="468">
        <f t="shared" si="32"/>
        <v>0</v>
      </c>
      <c r="N76" s="468">
        <f t="shared" si="33"/>
        <v>0</v>
      </c>
      <c r="O76" s="409">
        <f t="shared" si="34"/>
        <v>0</v>
      </c>
      <c r="P76" s="468">
        <f t="shared" si="35"/>
        <v>0</v>
      </c>
      <c r="Q76" s="469">
        <f t="shared" si="36"/>
        <v>0</v>
      </c>
      <c r="R76" s="411">
        <f t="shared" si="37"/>
        <v>0</v>
      </c>
      <c r="S76" s="438"/>
    </row>
    <row r="77" spans="1:19" x14ac:dyDescent="0.3">
      <c r="A77" s="752" t="s">
        <v>182</v>
      </c>
      <c r="B77" s="754" t="s">
        <v>13</v>
      </c>
      <c r="C77" s="450" t="s">
        <v>25</v>
      </c>
      <c r="D77" s="451">
        <f>G77+J77+M77+P77</f>
        <v>0</v>
      </c>
      <c r="E77" s="452">
        <f>H77+K77+N77+Q77</f>
        <v>0</v>
      </c>
      <c r="F77" s="453">
        <f>I77+L77+O77+R77</f>
        <v>0</v>
      </c>
      <c r="G77" s="470">
        <f>G6*G36*Faktory!$D$8</f>
        <v>0</v>
      </c>
      <c r="H77" s="471">
        <f>((H67*G36)-(H67*((G36-H36)*(1+$S$36))))*Faktory!$D$8</f>
        <v>0</v>
      </c>
      <c r="I77" s="389">
        <f>H77-G77</f>
        <v>0</v>
      </c>
      <c r="J77" s="471">
        <f>J6*J36*Faktory!$D$8</f>
        <v>0</v>
      </c>
      <c r="K77" s="471">
        <f>((K67*J36)-(K67*((J36-K36)*(1+$S$36))))*Faktory!$D$8</f>
        <v>0</v>
      </c>
      <c r="L77" s="389">
        <f>K77-J77</f>
        <v>0</v>
      </c>
      <c r="M77" s="471">
        <f>M6*M36*Faktory!$D$8</f>
        <v>0</v>
      </c>
      <c r="N77" s="471">
        <f>((N67*M36)-(N67*((M36-N36)*(1+$S$36))))*Faktory!$D$8</f>
        <v>0</v>
      </c>
      <c r="O77" s="389">
        <f>N77-M77</f>
        <v>0</v>
      </c>
      <c r="P77" s="471">
        <f>P6*P36*Faktory!$D$8</f>
        <v>0</v>
      </c>
      <c r="Q77" s="472">
        <f>((Q67*P36)-(Q67*((P36-Q36)*(1+$S$36))))*Faktory!$D$8</f>
        <v>0</v>
      </c>
      <c r="R77" s="473">
        <f>Q77-P77</f>
        <v>0</v>
      </c>
    </row>
    <row r="78" spans="1:19" x14ac:dyDescent="0.3">
      <c r="A78" s="752"/>
      <c r="B78" s="754"/>
      <c r="C78" s="450" t="s">
        <v>26</v>
      </c>
      <c r="D78" s="451">
        <f t="shared" ref="D78:D96" si="40">G78+J78+M78+P78</f>
        <v>0</v>
      </c>
      <c r="E78" s="452">
        <f t="shared" ref="E78:E96" si="41">H78+K78+N78+Q78</f>
        <v>0</v>
      </c>
      <c r="F78" s="453">
        <f t="shared" ref="F78:F96" si="42">I78+L78+O78+R78</f>
        <v>0</v>
      </c>
      <c r="G78" s="460">
        <f>G7*G37*Faktory!$D$8</f>
        <v>0</v>
      </c>
      <c r="H78" s="461">
        <f>((H68*G37)-(H68*((G37-H37)*(1+$S$36))))*Faktory!$D$8</f>
        <v>0</v>
      </c>
      <c r="I78" s="400">
        <f t="shared" ref="I78:I96" si="43">H78-G78</f>
        <v>0</v>
      </c>
      <c r="J78" s="461">
        <f>J7*J37*Faktory!$D$8</f>
        <v>0</v>
      </c>
      <c r="K78" s="461">
        <f>((K68*J37)-(K68*((J37-K37)*(1+$S$36))))*Faktory!$D$8</f>
        <v>0</v>
      </c>
      <c r="L78" s="400">
        <f t="shared" ref="L78:L96" si="44">K78-J78</f>
        <v>0</v>
      </c>
      <c r="M78" s="461">
        <f>M7*M37*Faktory!$D$8</f>
        <v>0</v>
      </c>
      <c r="N78" s="461">
        <f>((N68*M37)-(N68*((M37-N37)*(1+$S$36))))*Faktory!$D$8</f>
        <v>0</v>
      </c>
      <c r="O78" s="400">
        <f t="shared" ref="O78:O96" si="45">N78-M78</f>
        <v>0</v>
      </c>
      <c r="P78" s="461">
        <f>P7*P37*Faktory!$D$8</f>
        <v>0</v>
      </c>
      <c r="Q78" s="462">
        <f>((Q68*P37)-(Q68*((P37-Q37)*(1+$S$36))))*Faktory!$D$8</f>
        <v>0</v>
      </c>
      <c r="R78" s="402">
        <f t="shared" ref="R78:R96" si="46">Q78-P78</f>
        <v>0</v>
      </c>
    </row>
    <row r="79" spans="1:19" x14ac:dyDescent="0.3">
      <c r="A79" s="752"/>
      <c r="B79" s="754"/>
      <c r="C79" s="450" t="s">
        <v>27</v>
      </c>
      <c r="D79" s="451">
        <f t="shared" si="40"/>
        <v>0</v>
      </c>
      <c r="E79" s="452">
        <f t="shared" si="41"/>
        <v>0</v>
      </c>
      <c r="F79" s="453">
        <f t="shared" si="42"/>
        <v>0</v>
      </c>
      <c r="G79" s="460">
        <f>G8*G38*Faktory!$D$8</f>
        <v>0</v>
      </c>
      <c r="H79" s="461">
        <f>((H69*G38)-(H69*((G38-H38)*(1+$S$36))))*Faktory!$D$8</f>
        <v>0</v>
      </c>
      <c r="I79" s="400">
        <f t="shared" si="43"/>
        <v>0</v>
      </c>
      <c r="J79" s="461">
        <f>J8*J38*Faktory!$D$8</f>
        <v>0</v>
      </c>
      <c r="K79" s="461">
        <f>((K69*J38)-(K69*((J38-K38)*(1+$S$36))))*Faktory!$D$8</f>
        <v>0</v>
      </c>
      <c r="L79" s="400">
        <f t="shared" si="44"/>
        <v>0</v>
      </c>
      <c r="M79" s="461">
        <f>M8*M38*Faktory!$D$8</f>
        <v>0</v>
      </c>
      <c r="N79" s="461">
        <f>((N69*M38)-(N69*((M38-N38)*(1+$S$36))))*Faktory!$D$8</f>
        <v>0</v>
      </c>
      <c r="O79" s="400">
        <f t="shared" si="45"/>
        <v>0</v>
      </c>
      <c r="P79" s="461">
        <f>P8*P38*Faktory!$D$8</f>
        <v>0</v>
      </c>
      <c r="Q79" s="462">
        <f>((Q69*P38)-(Q69*((P38-Q38)*(1+$S$36))))*Faktory!$D$8</f>
        <v>0</v>
      </c>
      <c r="R79" s="402">
        <f t="shared" si="46"/>
        <v>0</v>
      </c>
    </row>
    <row r="80" spans="1:19" x14ac:dyDescent="0.3">
      <c r="A80" s="752"/>
      <c r="B80" s="754"/>
      <c r="C80" s="450" t="s">
        <v>28</v>
      </c>
      <c r="D80" s="451">
        <f t="shared" si="40"/>
        <v>0</v>
      </c>
      <c r="E80" s="452">
        <f t="shared" si="41"/>
        <v>0</v>
      </c>
      <c r="F80" s="453">
        <f t="shared" si="42"/>
        <v>0</v>
      </c>
      <c r="G80" s="460">
        <f>G9*G39*Faktory!$D$8</f>
        <v>0</v>
      </c>
      <c r="H80" s="461">
        <f>((H70*G39)-(H70*((G39-H39)*(1+$S$36))))*Faktory!$D$8</f>
        <v>0</v>
      </c>
      <c r="I80" s="400">
        <f t="shared" si="43"/>
        <v>0</v>
      </c>
      <c r="J80" s="461">
        <f>J9*J39*Faktory!$D$8</f>
        <v>0</v>
      </c>
      <c r="K80" s="461">
        <f>((K70*J39)-(K70*((J39-K39)*(1+$S$36))))*Faktory!$D$8</f>
        <v>0</v>
      </c>
      <c r="L80" s="400">
        <f t="shared" si="44"/>
        <v>0</v>
      </c>
      <c r="M80" s="461">
        <f>M9*M39*Faktory!$D$8</f>
        <v>0</v>
      </c>
      <c r="N80" s="461">
        <f>((N70*M39)-(N70*((M39-N39)*(1+$S$36))))*Faktory!$D$8</f>
        <v>0</v>
      </c>
      <c r="O80" s="400">
        <f t="shared" si="45"/>
        <v>0</v>
      </c>
      <c r="P80" s="461">
        <f>P9*P39*Faktory!$D$8</f>
        <v>0</v>
      </c>
      <c r="Q80" s="462">
        <f>((Q70*P39)-(Q70*((P39-Q39)*(1+$S$36))))*Faktory!$D$8</f>
        <v>0</v>
      </c>
      <c r="R80" s="402">
        <f t="shared" si="46"/>
        <v>0</v>
      </c>
    </row>
    <row r="81" spans="1:18" x14ac:dyDescent="0.3">
      <c r="A81" s="752"/>
      <c r="B81" s="754"/>
      <c r="C81" s="450" t="s">
        <v>29</v>
      </c>
      <c r="D81" s="451">
        <f t="shared" si="40"/>
        <v>0</v>
      </c>
      <c r="E81" s="452">
        <f t="shared" si="41"/>
        <v>0</v>
      </c>
      <c r="F81" s="453">
        <f t="shared" si="42"/>
        <v>0</v>
      </c>
      <c r="G81" s="460">
        <f>G10*G40*Faktory!$D$8</f>
        <v>0</v>
      </c>
      <c r="H81" s="461">
        <f>((H71*G40)-(H71*((G40-H40)*(1+$S$36))))*Faktory!$D$8</f>
        <v>0</v>
      </c>
      <c r="I81" s="400">
        <f t="shared" si="43"/>
        <v>0</v>
      </c>
      <c r="J81" s="461">
        <f>J10*J40*Faktory!$D$8</f>
        <v>0</v>
      </c>
      <c r="K81" s="461">
        <f>((K71*J40)-(K71*((J40-K40)*(1+$S$36))))*Faktory!$D$8</f>
        <v>0</v>
      </c>
      <c r="L81" s="400">
        <f t="shared" si="44"/>
        <v>0</v>
      </c>
      <c r="M81" s="461">
        <f>M10*M40*Faktory!$D$8</f>
        <v>0</v>
      </c>
      <c r="N81" s="461">
        <f>((N71*M40)-(N71*((M40-N40)*(1+$S$36))))*Faktory!$D$8</f>
        <v>0</v>
      </c>
      <c r="O81" s="400">
        <f t="shared" si="45"/>
        <v>0</v>
      </c>
      <c r="P81" s="461">
        <f>P10*P40*Faktory!$D$8</f>
        <v>0</v>
      </c>
      <c r="Q81" s="462">
        <f>((Q71*P40)-(Q71*((P40-Q40)*(1+$S$36))))*Faktory!$D$8</f>
        <v>0</v>
      </c>
      <c r="R81" s="402">
        <f t="shared" si="46"/>
        <v>0</v>
      </c>
    </row>
    <row r="82" spans="1:18" x14ac:dyDescent="0.3">
      <c r="A82" s="752"/>
      <c r="B82" s="754"/>
      <c r="C82" s="450" t="s">
        <v>30</v>
      </c>
      <c r="D82" s="451">
        <f t="shared" si="40"/>
        <v>0</v>
      </c>
      <c r="E82" s="452">
        <f t="shared" si="41"/>
        <v>0</v>
      </c>
      <c r="F82" s="453">
        <f t="shared" si="42"/>
        <v>0</v>
      </c>
      <c r="G82" s="460">
        <f>G11*G41*Faktory!$D$8</f>
        <v>0</v>
      </c>
      <c r="H82" s="461">
        <f>((H72*G41)-(H72*((G41-H41)*(1+$S$36))))*Faktory!$D$8</f>
        <v>0</v>
      </c>
      <c r="I82" s="400">
        <f t="shared" si="43"/>
        <v>0</v>
      </c>
      <c r="J82" s="461">
        <f>J11*J41*Faktory!$D$8</f>
        <v>0</v>
      </c>
      <c r="K82" s="461">
        <f>((K72*J41)-(K72*((J41-K41)*(1+$S$36))))*Faktory!$D$8</f>
        <v>0</v>
      </c>
      <c r="L82" s="400">
        <f t="shared" si="44"/>
        <v>0</v>
      </c>
      <c r="M82" s="461">
        <f>M11*M41*Faktory!$D$8</f>
        <v>0</v>
      </c>
      <c r="N82" s="461">
        <f>((N72*M41)-(N72*((M41-N41)*(1+$S$36))))*Faktory!$D$8</f>
        <v>0</v>
      </c>
      <c r="O82" s="400">
        <f t="shared" si="45"/>
        <v>0</v>
      </c>
      <c r="P82" s="461">
        <f>P11*P41*Faktory!$D$8</f>
        <v>0</v>
      </c>
      <c r="Q82" s="462">
        <f>((Q72*P41)-(Q72*((P41-Q41)*(1+$S$36))))*Faktory!$D$8</f>
        <v>0</v>
      </c>
      <c r="R82" s="402">
        <f t="shared" si="46"/>
        <v>0</v>
      </c>
    </row>
    <row r="83" spans="1:18" x14ac:dyDescent="0.3">
      <c r="A83" s="752"/>
      <c r="B83" s="754"/>
      <c r="C83" s="450" t="s">
        <v>31</v>
      </c>
      <c r="D83" s="451">
        <f t="shared" si="40"/>
        <v>0</v>
      </c>
      <c r="E83" s="452">
        <f t="shared" si="41"/>
        <v>0</v>
      </c>
      <c r="F83" s="453">
        <f t="shared" si="42"/>
        <v>0</v>
      </c>
      <c r="G83" s="460">
        <f>G12*G42*Faktory!$D$8</f>
        <v>0</v>
      </c>
      <c r="H83" s="461">
        <f>((H73*G42)-(H73*((G42-H42)*(1+$S$36))))*Faktory!$D$8</f>
        <v>0</v>
      </c>
      <c r="I83" s="400">
        <f t="shared" si="43"/>
        <v>0</v>
      </c>
      <c r="J83" s="461">
        <f>J12*J42*Faktory!$D$8</f>
        <v>0</v>
      </c>
      <c r="K83" s="461">
        <f>((K73*J42)-(K73*((J42-K42)*(1+$S$36))))*Faktory!$D$8</f>
        <v>0</v>
      </c>
      <c r="L83" s="400">
        <f t="shared" si="44"/>
        <v>0</v>
      </c>
      <c r="M83" s="461">
        <f>M12*M42*Faktory!$D$8</f>
        <v>0</v>
      </c>
      <c r="N83" s="461">
        <f>((N73*M42)-(N73*((M42-N42)*(1+$S$36))))*Faktory!$D$8</f>
        <v>0</v>
      </c>
      <c r="O83" s="400">
        <f t="shared" si="45"/>
        <v>0</v>
      </c>
      <c r="P83" s="461">
        <f>P12*P42*Faktory!$D$8</f>
        <v>0</v>
      </c>
      <c r="Q83" s="462">
        <f>((Q73*P42)-(Q73*((P42-Q42)*(1+$S$36))))*Faktory!$D$8</f>
        <v>0</v>
      </c>
      <c r="R83" s="402">
        <f t="shared" si="46"/>
        <v>0</v>
      </c>
    </row>
    <row r="84" spans="1:18" x14ac:dyDescent="0.3">
      <c r="A84" s="752"/>
      <c r="B84" s="754"/>
      <c r="C84" s="450" t="s">
        <v>32</v>
      </c>
      <c r="D84" s="451">
        <f t="shared" si="40"/>
        <v>0</v>
      </c>
      <c r="E84" s="452">
        <f t="shared" si="41"/>
        <v>0</v>
      </c>
      <c r="F84" s="453">
        <f t="shared" si="42"/>
        <v>0</v>
      </c>
      <c r="G84" s="460">
        <f>G13*G43*Faktory!$D$8</f>
        <v>0</v>
      </c>
      <c r="H84" s="461">
        <f>((H74*G43)-(H74*((G43-H43)*(1+$S$36))))*Faktory!$D$8</f>
        <v>0</v>
      </c>
      <c r="I84" s="400">
        <f t="shared" si="43"/>
        <v>0</v>
      </c>
      <c r="J84" s="461">
        <f>J13*J43*Faktory!$D$8</f>
        <v>0</v>
      </c>
      <c r="K84" s="461">
        <f>((K74*J43)-(K74*((J43-K43)*(1+$S$36))))*Faktory!$D$8</f>
        <v>0</v>
      </c>
      <c r="L84" s="400">
        <f t="shared" si="44"/>
        <v>0</v>
      </c>
      <c r="M84" s="461">
        <f>M13*M43*Faktory!$D$8</f>
        <v>0</v>
      </c>
      <c r="N84" s="461">
        <f>((N74*M43)-(N74*((M43-N43)*(1+$S$36))))*Faktory!$D$8</f>
        <v>0</v>
      </c>
      <c r="O84" s="400">
        <f t="shared" si="45"/>
        <v>0</v>
      </c>
      <c r="P84" s="461">
        <f>P13*P43*Faktory!$D$8</f>
        <v>0</v>
      </c>
      <c r="Q84" s="462">
        <f>((Q74*P43)-(Q74*((P43-Q43)*(1+$S$36))))*Faktory!$D$8</f>
        <v>0</v>
      </c>
      <c r="R84" s="402">
        <f t="shared" si="46"/>
        <v>0</v>
      </c>
    </row>
    <row r="85" spans="1:18" x14ac:dyDescent="0.3">
      <c r="A85" s="752"/>
      <c r="B85" s="754"/>
      <c r="C85" s="450" t="s">
        <v>33</v>
      </c>
      <c r="D85" s="451">
        <f t="shared" si="40"/>
        <v>0</v>
      </c>
      <c r="E85" s="452">
        <f t="shared" si="41"/>
        <v>0</v>
      </c>
      <c r="F85" s="453">
        <f t="shared" si="42"/>
        <v>0</v>
      </c>
      <c r="G85" s="460">
        <f>G14*G44*Faktory!$D$8</f>
        <v>0</v>
      </c>
      <c r="H85" s="461">
        <f>((H75*G44)-(H75*((G44-H44)*(1+$S$36))))*Faktory!$D$8</f>
        <v>0</v>
      </c>
      <c r="I85" s="400">
        <f t="shared" si="43"/>
        <v>0</v>
      </c>
      <c r="J85" s="461">
        <f>J14*J44*Faktory!$D$8</f>
        <v>0</v>
      </c>
      <c r="K85" s="461">
        <f>((K75*J44)-(K75*((J44-K44)*(1+$S$36))))*Faktory!$D$8</f>
        <v>0</v>
      </c>
      <c r="L85" s="400">
        <f t="shared" si="44"/>
        <v>0</v>
      </c>
      <c r="M85" s="461">
        <f>M14*M44*Faktory!$D$8</f>
        <v>0</v>
      </c>
      <c r="N85" s="461">
        <f>((N75*M44)-(N75*((M44-N44)*(1+$S$36))))*Faktory!$D$8</f>
        <v>0</v>
      </c>
      <c r="O85" s="400">
        <f t="shared" si="45"/>
        <v>0</v>
      </c>
      <c r="P85" s="461">
        <f>P14*P44*Faktory!$D$8</f>
        <v>0</v>
      </c>
      <c r="Q85" s="462">
        <f>((Q75*P44)-(Q75*((P44-Q44)*(1+$S$36))))*Faktory!$D$8</f>
        <v>0</v>
      </c>
      <c r="R85" s="402">
        <f t="shared" si="46"/>
        <v>0</v>
      </c>
    </row>
    <row r="86" spans="1:18" ht="15" thickBot="1" x14ac:dyDescent="0.35">
      <c r="A86" s="753"/>
      <c r="B86" s="755"/>
      <c r="C86" s="463" t="s">
        <v>34</v>
      </c>
      <c r="D86" s="464">
        <f t="shared" si="40"/>
        <v>0</v>
      </c>
      <c r="E86" s="465">
        <f t="shared" si="41"/>
        <v>0</v>
      </c>
      <c r="F86" s="466">
        <f t="shared" si="42"/>
        <v>0</v>
      </c>
      <c r="G86" s="467">
        <f>G15*G45*Faktory!$D$8</f>
        <v>0</v>
      </c>
      <c r="H86" s="468">
        <f>((H76*G45)-(H76*((G45-H45)*(1+$S$36))))*Faktory!$D$8</f>
        <v>0</v>
      </c>
      <c r="I86" s="409">
        <f t="shared" si="43"/>
        <v>0</v>
      </c>
      <c r="J86" s="468">
        <f>J15*J45*Faktory!$D$8</f>
        <v>0</v>
      </c>
      <c r="K86" s="468">
        <f>((K76*J45)-(K76*((J45-K45)*(1+$S$36))))*Faktory!$D$8</f>
        <v>0</v>
      </c>
      <c r="L86" s="409">
        <f t="shared" si="44"/>
        <v>0</v>
      </c>
      <c r="M86" s="468">
        <f>M15*M45*Faktory!$D$8</f>
        <v>0</v>
      </c>
      <c r="N86" s="468">
        <f>((N76*M45)-(N76*((M45-N45)*(1+$S$36))))*Faktory!$D$8</f>
        <v>0</v>
      </c>
      <c r="O86" s="409">
        <f t="shared" si="45"/>
        <v>0</v>
      </c>
      <c r="P86" s="468">
        <f>P15*P45*Faktory!$D$8</f>
        <v>0</v>
      </c>
      <c r="Q86" s="469">
        <f>((Q76*P45)-(Q76*((P45-Q45)*(1+$S$36))))*Faktory!$D$8</f>
        <v>0</v>
      </c>
      <c r="R86" s="411">
        <f t="shared" si="46"/>
        <v>0</v>
      </c>
    </row>
    <row r="87" spans="1:18" x14ac:dyDescent="0.3">
      <c r="A87" s="752" t="s">
        <v>177</v>
      </c>
      <c r="B87" s="754" t="s">
        <v>178</v>
      </c>
      <c r="C87" s="450" t="s">
        <v>25</v>
      </c>
      <c r="D87" s="475">
        <f t="shared" si="40"/>
        <v>0</v>
      </c>
      <c r="E87" s="476">
        <f t="shared" si="41"/>
        <v>0</v>
      </c>
      <c r="F87" s="477">
        <f t="shared" si="42"/>
        <v>0</v>
      </c>
      <c r="G87" s="478">
        <f t="shared" ref="G87:H96" si="47">(G6*G36)/12/21/7.5</f>
        <v>0</v>
      </c>
      <c r="H87" s="479">
        <f t="shared" si="47"/>
        <v>0</v>
      </c>
      <c r="I87" s="480">
        <f t="shared" si="43"/>
        <v>0</v>
      </c>
      <c r="J87" s="479">
        <f t="shared" ref="J87:K96" si="48">(J6*J36)/12/21/7.5</f>
        <v>0</v>
      </c>
      <c r="K87" s="479">
        <f t="shared" si="48"/>
        <v>0</v>
      </c>
      <c r="L87" s="480">
        <f t="shared" si="44"/>
        <v>0</v>
      </c>
      <c r="M87" s="479">
        <f t="shared" ref="M87:N96" si="49">(M6*M36)/12/21/7.5</f>
        <v>0</v>
      </c>
      <c r="N87" s="479">
        <f t="shared" si="49"/>
        <v>0</v>
      </c>
      <c r="O87" s="480">
        <f t="shared" si="45"/>
        <v>0</v>
      </c>
      <c r="P87" s="479">
        <f t="shared" ref="P87:Q96" si="50">(P6*P36)/12/21/7.5</f>
        <v>0</v>
      </c>
      <c r="Q87" s="481">
        <f t="shared" si="50"/>
        <v>0</v>
      </c>
      <c r="R87" s="482">
        <f t="shared" si="46"/>
        <v>0</v>
      </c>
    </row>
    <row r="88" spans="1:18" x14ac:dyDescent="0.3">
      <c r="A88" s="752"/>
      <c r="B88" s="754"/>
      <c r="C88" s="450" t="s">
        <v>26</v>
      </c>
      <c r="D88" s="475">
        <f t="shared" si="40"/>
        <v>0</v>
      </c>
      <c r="E88" s="476">
        <f t="shared" si="41"/>
        <v>0</v>
      </c>
      <c r="F88" s="477">
        <f t="shared" si="42"/>
        <v>0</v>
      </c>
      <c r="G88" s="483">
        <f t="shared" si="47"/>
        <v>0</v>
      </c>
      <c r="H88" s="484">
        <f t="shared" si="47"/>
        <v>0</v>
      </c>
      <c r="I88" s="485">
        <f t="shared" si="43"/>
        <v>0</v>
      </c>
      <c r="J88" s="484">
        <f t="shared" si="48"/>
        <v>0</v>
      </c>
      <c r="K88" s="484">
        <f t="shared" si="48"/>
        <v>0</v>
      </c>
      <c r="L88" s="485">
        <f t="shared" si="44"/>
        <v>0</v>
      </c>
      <c r="M88" s="484">
        <f t="shared" si="49"/>
        <v>0</v>
      </c>
      <c r="N88" s="484">
        <f t="shared" si="49"/>
        <v>0</v>
      </c>
      <c r="O88" s="485">
        <f t="shared" si="45"/>
        <v>0</v>
      </c>
      <c r="P88" s="484">
        <f t="shared" si="50"/>
        <v>0</v>
      </c>
      <c r="Q88" s="486">
        <f t="shared" si="50"/>
        <v>0</v>
      </c>
      <c r="R88" s="487">
        <f t="shared" si="46"/>
        <v>0</v>
      </c>
    </row>
    <row r="89" spans="1:18" x14ac:dyDescent="0.3">
      <c r="A89" s="752"/>
      <c r="B89" s="754"/>
      <c r="C89" s="450" t="s">
        <v>27</v>
      </c>
      <c r="D89" s="475">
        <f t="shared" si="40"/>
        <v>0</v>
      </c>
      <c r="E89" s="476">
        <f t="shared" si="41"/>
        <v>0</v>
      </c>
      <c r="F89" s="477">
        <f t="shared" si="42"/>
        <v>0</v>
      </c>
      <c r="G89" s="483">
        <f t="shared" si="47"/>
        <v>0</v>
      </c>
      <c r="H89" s="484">
        <f t="shared" si="47"/>
        <v>0</v>
      </c>
      <c r="I89" s="485">
        <f t="shared" si="43"/>
        <v>0</v>
      </c>
      <c r="J89" s="484">
        <f t="shared" si="48"/>
        <v>0</v>
      </c>
      <c r="K89" s="484">
        <f t="shared" si="48"/>
        <v>0</v>
      </c>
      <c r="L89" s="485">
        <f t="shared" si="44"/>
        <v>0</v>
      </c>
      <c r="M89" s="484">
        <f t="shared" si="49"/>
        <v>0</v>
      </c>
      <c r="N89" s="484">
        <f t="shared" si="49"/>
        <v>0</v>
      </c>
      <c r="O89" s="485">
        <f t="shared" si="45"/>
        <v>0</v>
      </c>
      <c r="P89" s="484">
        <f t="shared" si="50"/>
        <v>0</v>
      </c>
      <c r="Q89" s="486">
        <f t="shared" si="50"/>
        <v>0</v>
      </c>
      <c r="R89" s="487">
        <f t="shared" si="46"/>
        <v>0</v>
      </c>
    </row>
    <row r="90" spans="1:18" x14ac:dyDescent="0.3">
      <c r="A90" s="752"/>
      <c r="B90" s="754"/>
      <c r="C90" s="450" t="s">
        <v>28</v>
      </c>
      <c r="D90" s="475">
        <f t="shared" si="40"/>
        <v>0</v>
      </c>
      <c r="E90" s="476">
        <f t="shared" si="41"/>
        <v>0</v>
      </c>
      <c r="F90" s="477">
        <f t="shared" si="42"/>
        <v>0</v>
      </c>
      <c r="G90" s="483">
        <f t="shared" si="47"/>
        <v>0</v>
      </c>
      <c r="H90" s="484">
        <f t="shared" si="47"/>
        <v>0</v>
      </c>
      <c r="I90" s="485">
        <f t="shared" si="43"/>
        <v>0</v>
      </c>
      <c r="J90" s="484">
        <f t="shared" si="48"/>
        <v>0</v>
      </c>
      <c r="K90" s="484">
        <f t="shared" si="48"/>
        <v>0</v>
      </c>
      <c r="L90" s="485">
        <f t="shared" si="44"/>
        <v>0</v>
      </c>
      <c r="M90" s="484">
        <f t="shared" si="49"/>
        <v>0</v>
      </c>
      <c r="N90" s="484">
        <f t="shared" si="49"/>
        <v>0</v>
      </c>
      <c r="O90" s="485">
        <f t="shared" si="45"/>
        <v>0</v>
      </c>
      <c r="P90" s="484">
        <f t="shared" si="50"/>
        <v>0</v>
      </c>
      <c r="Q90" s="486">
        <f t="shared" si="50"/>
        <v>0</v>
      </c>
      <c r="R90" s="487">
        <f t="shared" si="46"/>
        <v>0</v>
      </c>
    </row>
    <row r="91" spans="1:18" x14ac:dyDescent="0.3">
      <c r="A91" s="752"/>
      <c r="B91" s="754"/>
      <c r="C91" s="450" t="s">
        <v>29</v>
      </c>
      <c r="D91" s="475">
        <f t="shared" si="40"/>
        <v>0</v>
      </c>
      <c r="E91" s="476">
        <f t="shared" si="41"/>
        <v>0</v>
      </c>
      <c r="F91" s="477">
        <f t="shared" si="42"/>
        <v>0</v>
      </c>
      <c r="G91" s="483">
        <f t="shared" si="47"/>
        <v>0</v>
      </c>
      <c r="H91" s="484">
        <f t="shared" si="47"/>
        <v>0</v>
      </c>
      <c r="I91" s="485">
        <f t="shared" si="43"/>
        <v>0</v>
      </c>
      <c r="J91" s="484">
        <f t="shared" si="48"/>
        <v>0</v>
      </c>
      <c r="K91" s="484">
        <f t="shared" si="48"/>
        <v>0</v>
      </c>
      <c r="L91" s="485">
        <f t="shared" si="44"/>
        <v>0</v>
      </c>
      <c r="M91" s="484">
        <f t="shared" si="49"/>
        <v>0</v>
      </c>
      <c r="N91" s="484">
        <f t="shared" si="49"/>
        <v>0</v>
      </c>
      <c r="O91" s="485">
        <f t="shared" si="45"/>
        <v>0</v>
      </c>
      <c r="P91" s="484">
        <f t="shared" si="50"/>
        <v>0</v>
      </c>
      <c r="Q91" s="486">
        <f t="shared" si="50"/>
        <v>0</v>
      </c>
      <c r="R91" s="487">
        <f t="shared" si="46"/>
        <v>0</v>
      </c>
    </row>
    <row r="92" spans="1:18" x14ac:dyDescent="0.3">
      <c r="A92" s="752"/>
      <c r="B92" s="754"/>
      <c r="C92" s="450" t="s">
        <v>30</v>
      </c>
      <c r="D92" s="475">
        <f t="shared" si="40"/>
        <v>0</v>
      </c>
      <c r="E92" s="476">
        <f t="shared" si="41"/>
        <v>0</v>
      </c>
      <c r="F92" s="477">
        <f t="shared" si="42"/>
        <v>0</v>
      </c>
      <c r="G92" s="483">
        <f t="shared" si="47"/>
        <v>0</v>
      </c>
      <c r="H92" s="484">
        <f t="shared" si="47"/>
        <v>0</v>
      </c>
      <c r="I92" s="485">
        <f t="shared" si="43"/>
        <v>0</v>
      </c>
      <c r="J92" s="484">
        <f t="shared" si="48"/>
        <v>0</v>
      </c>
      <c r="K92" s="484">
        <f t="shared" si="48"/>
        <v>0</v>
      </c>
      <c r="L92" s="485">
        <f t="shared" si="44"/>
        <v>0</v>
      </c>
      <c r="M92" s="484">
        <f t="shared" si="49"/>
        <v>0</v>
      </c>
      <c r="N92" s="484">
        <f t="shared" si="49"/>
        <v>0</v>
      </c>
      <c r="O92" s="485">
        <f t="shared" si="45"/>
        <v>0</v>
      </c>
      <c r="P92" s="484">
        <f t="shared" si="50"/>
        <v>0</v>
      </c>
      <c r="Q92" s="486">
        <f t="shared" si="50"/>
        <v>0</v>
      </c>
      <c r="R92" s="487">
        <f t="shared" si="46"/>
        <v>0</v>
      </c>
    </row>
    <row r="93" spans="1:18" x14ac:dyDescent="0.3">
      <c r="A93" s="752"/>
      <c r="B93" s="754"/>
      <c r="C93" s="450" t="s">
        <v>31</v>
      </c>
      <c r="D93" s="475">
        <f t="shared" si="40"/>
        <v>0</v>
      </c>
      <c r="E93" s="476">
        <f t="shared" si="41"/>
        <v>0</v>
      </c>
      <c r="F93" s="477">
        <f t="shared" si="42"/>
        <v>0</v>
      </c>
      <c r="G93" s="483">
        <f t="shared" si="47"/>
        <v>0</v>
      </c>
      <c r="H93" s="484">
        <f t="shared" si="47"/>
        <v>0</v>
      </c>
      <c r="I93" s="485">
        <f t="shared" si="43"/>
        <v>0</v>
      </c>
      <c r="J93" s="484">
        <f t="shared" si="48"/>
        <v>0</v>
      </c>
      <c r="K93" s="484">
        <f t="shared" si="48"/>
        <v>0</v>
      </c>
      <c r="L93" s="485">
        <f t="shared" si="44"/>
        <v>0</v>
      </c>
      <c r="M93" s="484">
        <f t="shared" si="49"/>
        <v>0</v>
      </c>
      <c r="N93" s="484">
        <f t="shared" si="49"/>
        <v>0</v>
      </c>
      <c r="O93" s="485">
        <f t="shared" si="45"/>
        <v>0</v>
      </c>
      <c r="P93" s="484">
        <f t="shared" si="50"/>
        <v>0</v>
      </c>
      <c r="Q93" s="486">
        <f t="shared" si="50"/>
        <v>0</v>
      </c>
      <c r="R93" s="487">
        <f t="shared" si="46"/>
        <v>0</v>
      </c>
    </row>
    <row r="94" spans="1:18" x14ac:dyDescent="0.3">
      <c r="A94" s="752"/>
      <c r="B94" s="754"/>
      <c r="C94" s="450" t="s">
        <v>32</v>
      </c>
      <c r="D94" s="475">
        <f t="shared" si="40"/>
        <v>0</v>
      </c>
      <c r="E94" s="476">
        <f t="shared" si="41"/>
        <v>0</v>
      </c>
      <c r="F94" s="477">
        <f t="shared" si="42"/>
        <v>0</v>
      </c>
      <c r="G94" s="483">
        <f t="shared" si="47"/>
        <v>0</v>
      </c>
      <c r="H94" s="484">
        <f t="shared" si="47"/>
        <v>0</v>
      </c>
      <c r="I94" s="485">
        <f t="shared" si="43"/>
        <v>0</v>
      </c>
      <c r="J94" s="484">
        <f t="shared" si="48"/>
        <v>0</v>
      </c>
      <c r="K94" s="484">
        <f t="shared" si="48"/>
        <v>0</v>
      </c>
      <c r="L94" s="485">
        <f t="shared" si="44"/>
        <v>0</v>
      </c>
      <c r="M94" s="484">
        <f t="shared" si="49"/>
        <v>0</v>
      </c>
      <c r="N94" s="484">
        <f t="shared" si="49"/>
        <v>0</v>
      </c>
      <c r="O94" s="485">
        <f t="shared" si="45"/>
        <v>0</v>
      </c>
      <c r="P94" s="484">
        <f t="shared" si="50"/>
        <v>0</v>
      </c>
      <c r="Q94" s="486">
        <f t="shared" si="50"/>
        <v>0</v>
      </c>
      <c r="R94" s="487">
        <f t="shared" si="46"/>
        <v>0</v>
      </c>
    </row>
    <row r="95" spans="1:18" x14ac:dyDescent="0.3">
      <c r="A95" s="752"/>
      <c r="B95" s="754"/>
      <c r="C95" s="450" t="s">
        <v>33</v>
      </c>
      <c r="D95" s="475">
        <f t="shared" si="40"/>
        <v>0</v>
      </c>
      <c r="E95" s="476">
        <f t="shared" si="41"/>
        <v>0</v>
      </c>
      <c r="F95" s="477">
        <f t="shared" si="42"/>
        <v>0</v>
      </c>
      <c r="G95" s="483">
        <f t="shared" si="47"/>
        <v>0</v>
      </c>
      <c r="H95" s="484">
        <f t="shared" si="47"/>
        <v>0</v>
      </c>
      <c r="I95" s="485">
        <f t="shared" si="43"/>
        <v>0</v>
      </c>
      <c r="J95" s="484">
        <f t="shared" si="48"/>
        <v>0</v>
      </c>
      <c r="K95" s="484">
        <f t="shared" si="48"/>
        <v>0</v>
      </c>
      <c r="L95" s="485">
        <f t="shared" si="44"/>
        <v>0</v>
      </c>
      <c r="M95" s="484">
        <f t="shared" si="49"/>
        <v>0</v>
      </c>
      <c r="N95" s="484">
        <f t="shared" si="49"/>
        <v>0</v>
      </c>
      <c r="O95" s="485">
        <f t="shared" si="45"/>
        <v>0</v>
      </c>
      <c r="P95" s="484">
        <f t="shared" si="50"/>
        <v>0</v>
      </c>
      <c r="Q95" s="486">
        <f t="shared" si="50"/>
        <v>0</v>
      </c>
      <c r="R95" s="487">
        <f t="shared" si="46"/>
        <v>0</v>
      </c>
    </row>
    <row r="96" spans="1:18" ht="15" thickBot="1" x14ac:dyDescent="0.35">
      <c r="A96" s="753"/>
      <c r="B96" s="755"/>
      <c r="C96" s="463" t="s">
        <v>34</v>
      </c>
      <c r="D96" s="488">
        <f t="shared" si="40"/>
        <v>0</v>
      </c>
      <c r="E96" s="489">
        <f t="shared" si="41"/>
        <v>0</v>
      </c>
      <c r="F96" s="490">
        <f t="shared" si="42"/>
        <v>0</v>
      </c>
      <c r="G96" s="491">
        <f t="shared" si="47"/>
        <v>0</v>
      </c>
      <c r="H96" s="492">
        <f t="shared" si="47"/>
        <v>0</v>
      </c>
      <c r="I96" s="493">
        <f t="shared" si="43"/>
        <v>0</v>
      </c>
      <c r="J96" s="492">
        <f t="shared" si="48"/>
        <v>0</v>
      </c>
      <c r="K96" s="492">
        <f t="shared" si="48"/>
        <v>0</v>
      </c>
      <c r="L96" s="493">
        <f t="shared" si="44"/>
        <v>0</v>
      </c>
      <c r="M96" s="492">
        <f t="shared" si="49"/>
        <v>0</v>
      </c>
      <c r="N96" s="492">
        <f t="shared" si="49"/>
        <v>0</v>
      </c>
      <c r="O96" s="493">
        <f t="shared" si="45"/>
        <v>0</v>
      </c>
      <c r="P96" s="492">
        <f t="shared" si="50"/>
        <v>0</v>
      </c>
      <c r="Q96" s="494">
        <f t="shared" si="50"/>
        <v>0</v>
      </c>
      <c r="R96" s="495">
        <f t="shared" si="46"/>
        <v>0</v>
      </c>
    </row>
    <row r="97" spans="1:18" x14ac:dyDescent="0.3">
      <c r="A97" s="752" t="s">
        <v>181</v>
      </c>
      <c r="B97" s="754" t="s">
        <v>13</v>
      </c>
      <c r="C97" s="450" t="s">
        <v>25</v>
      </c>
      <c r="D97" s="451">
        <f>G97+J97+M97+P97</f>
        <v>0</v>
      </c>
      <c r="E97" s="452">
        <f>H97+K97+N97+Q97</f>
        <v>0</v>
      </c>
      <c r="F97" s="453">
        <f>I97+L97+O97+R97</f>
        <v>0</v>
      </c>
      <c r="G97" s="470">
        <v>0</v>
      </c>
      <c r="H97" s="471">
        <f>(G67+I67/2)*((G46-H46)*(1+$S$46))*Faktory!$D$10</f>
        <v>0</v>
      </c>
      <c r="I97" s="389">
        <f>H97</f>
        <v>0</v>
      </c>
      <c r="J97" s="471">
        <v>0</v>
      </c>
      <c r="K97" s="471">
        <f>(J67+L67/2)*((J46-K46)*(1+$S$46))*Faktory!$D$10</f>
        <v>0</v>
      </c>
      <c r="L97" s="389">
        <f>K97</f>
        <v>0</v>
      </c>
      <c r="M97" s="471">
        <v>0</v>
      </c>
      <c r="N97" s="471">
        <f>(M67+O67/2)*((M46-N46)*(1+$S$46))*Faktory!$D$10</f>
        <v>0</v>
      </c>
      <c r="O97" s="389">
        <f>N97</f>
        <v>0</v>
      </c>
      <c r="P97" s="471">
        <v>0</v>
      </c>
      <c r="Q97" s="472">
        <f>(P67+R67/2)*((P46-Q46)*(1+$S$46))*Faktory!$D$10</f>
        <v>0</v>
      </c>
      <c r="R97" s="473">
        <f>Q97</f>
        <v>0</v>
      </c>
    </row>
    <row r="98" spans="1:18" x14ac:dyDescent="0.3">
      <c r="A98" s="752"/>
      <c r="B98" s="754"/>
      <c r="C98" s="450" t="s">
        <v>26</v>
      </c>
      <c r="D98" s="451">
        <f t="shared" ref="D98:D106" si="51">G98+J98+M98+P98</f>
        <v>0</v>
      </c>
      <c r="E98" s="452">
        <f t="shared" ref="E98:E116" si="52">H98+K98+N98+Q98</f>
        <v>0</v>
      </c>
      <c r="F98" s="453">
        <f t="shared" ref="F98:F106" si="53">I98+L98+O98+R98</f>
        <v>0</v>
      </c>
      <c r="G98" s="460">
        <v>0</v>
      </c>
      <c r="H98" s="461">
        <f>(G68+I68/2)*((G47-H47)*(1+$S$46))*Faktory!$D$10</f>
        <v>0</v>
      </c>
      <c r="I98" s="400">
        <f t="shared" ref="I98:I106" si="54">H98</f>
        <v>0</v>
      </c>
      <c r="J98" s="461">
        <v>0</v>
      </c>
      <c r="K98" s="461">
        <f>(J68+L68/2)*((J47-K47)*(1+$S$46))*Faktory!$D$10</f>
        <v>0</v>
      </c>
      <c r="L98" s="400">
        <f t="shared" ref="L98:L106" si="55">K98</f>
        <v>0</v>
      </c>
      <c r="M98" s="461">
        <v>0</v>
      </c>
      <c r="N98" s="461">
        <f>(M68+O68/2)*((M47-N47)*(1+$S$46))*Faktory!$D$10</f>
        <v>0</v>
      </c>
      <c r="O98" s="400">
        <f t="shared" ref="O98:O106" si="56">N98</f>
        <v>0</v>
      </c>
      <c r="P98" s="461">
        <v>0</v>
      </c>
      <c r="Q98" s="462">
        <f>(P68+R68/2)*((P47-Q47)*(1+$S$46))*Faktory!$D$10</f>
        <v>0</v>
      </c>
      <c r="R98" s="402">
        <f t="shared" ref="R98:R106" si="57">Q98</f>
        <v>0</v>
      </c>
    </row>
    <row r="99" spans="1:18" x14ac:dyDescent="0.3">
      <c r="A99" s="752"/>
      <c r="B99" s="754"/>
      <c r="C99" s="450" t="s">
        <v>27</v>
      </c>
      <c r="D99" s="451">
        <f t="shared" si="51"/>
        <v>0</v>
      </c>
      <c r="E99" s="452">
        <f t="shared" si="52"/>
        <v>0</v>
      </c>
      <c r="F99" s="453">
        <f t="shared" si="53"/>
        <v>0</v>
      </c>
      <c r="G99" s="460">
        <v>0</v>
      </c>
      <c r="H99" s="461">
        <f>(G69+I69/2)*((G48-H48)*(1+$S$46))*Faktory!$D$10</f>
        <v>0</v>
      </c>
      <c r="I99" s="400">
        <f t="shared" si="54"/>
        <v>0</v>
      </c>
      <c r="J99" s="461">
        <v>0</v>
      </c>
      <c r="K99" s="461">
        <f>(J69+L69/2)*((J48-K48)*(1+$S$46))*Faktory!$D$10</f>
        <v>0</v>
      </c>
      <c r="L99" s="400">
        <f t="shared" si="55"/>
        <v>0</v>
      </c>
      <c r="M99" s="461">
        <v>0</v>
      </c>
      <c r="N99" s="461">
        <f>(M69+O69/2)*((M48-N48)*(1+$S$46))*Faktory!$D$10</f>
        <v>0</v>
      </c>
      <c r="O99" s="400">
        <f t="shared" si="56"/>
        <v>0</v>
      </c>
      <c r="P99" s="461">
        <v>0</v>
      </c>
      <c r="Q99" s="462">
        <f>(P69+R69/2)*((P48-Q48)*(1+$S$46))*Faktory!$D$10</f>
        <v>0</v>
      </c>
      <c r="R99" s="402">
        <f t="shared" si="57"/>
        <v>0</v>
      </c>
    </row>
    <row r="100" spans="1:18" x14ac:dyDescent="0.3">
      <c r="A100" s="752"/>
      <c r="B100" s="754"/>
      <c r="C100" s="450" t="s">
        <v>28</v>
      </c>
      <c r="D100" s="451">
        <f t="shared" si="51"/>
        <v>0</v>
      </c>
      <c r="E100" s="452">
        <f t="shared" si="52"/>
        <v>0</v>
      </c>
      <c r="F100" s="453">
        <f t="shared" si="53"/>
        <v>0</v>
      </c>
      <c r="G100" s="460">
        <v>0</v>
      </c>
      <c r="H100" s="461">
        <f>(G70+I70/2)*((G49-H49)*(1+$S$46))*Faktory!$D$10</f>
        <v>0</v>
      </c>
      <c r="I100" s="400">
        <f t="shared" si="54"/>
        <v>0</v>
      </c>
      <c r="J100" s="461">
        <v>0</v>
      </c>
      <c r="K100" s="461">
        <f>(J70+L70/2)*((J49-K49)*(1+$S$46))*Faktory!$D$10</f>
        <v>0</v>
      </c>
      <c r="L100" s="400">
        <f t="shared" si="55"/>
        <v>0</v>
      </c>
      <c r="M100" s="461">
        <v>0</v>
      </c>
      <c r="N100" s="461">
        <f>(M70+O70/2)*((M49-N49)*(1+$S$46))*Faktory!$D$10</f>
        <v>0</v>
      </c>
      <c r="O100" s="400">
        <f t="shared" si="56"/>
        <v>0</v>
      </c>
      <c r="P100" s="461">
        <v>0</v>
      </c>
      <c r="Q100" s="462">
        <f>(P70+R70/2)*((P49-Q49)*(1+$S$46))*Faktory!$D$10</f>
        <v>0</v>
      </c>
      <c r="R100" s="402">
        <f t="shared" si="57"/>
        <v>0</v>
      </c>
    </row>
    <row r="101" spans="1:18" x14ac:dyDescent="0.3">
      <c r="A101" s="752"/>
      <c r="B101" s="754"/>
      <c r="C101" s="450" t="s">
        <v>29</v>
      </c>
      <c r="D101" s="451">
        <f t="shared" si="51"/>
        <v>0</v>
      </c>
      <c r="E101" s="452">
        <f t="shared" si="52"/>
        <v>0</v>
      </c>
      <c r="F101" s="453">
        <f t="shared" si="53"/>
        <v>0</v>
      </c>
      <c r="G101" s="460">
        <v>0</v>
      </c>
      <c r="H101" s="461">
        <f>(G71+I71/2)*((G50-H50)*(1+$S$46))*Faktory!$D$10</f>
        <v>0</v>
      </c>
      <c r="I101" s="400">
        <f t="shared" si="54"/>
        <v>0</v>
      </c>
      <c r="J101" s="461">
        <v>0</v>
      </c>
      <c r="K101" s="461">
        <f>(J71+L71/2)*((J50-K50)*(1+$S$46))*Faktory!$D$10</f>
        <v>0</v>
      </c>
      <c r="L101" s="400">
        <f t="shared" si="55"/>
        <v>0</v>
      </c>
      <c r="M101" s="461">
        <v>0</v>
      </c>
      <c r="N101" s="461">
        <f>(M71+O71/2)*((M50-N50)*(1+$S$46))*Faktory!$D$10</f>
        <v>0</v>
      </c>
      <c r="O101" s="400">
        <f t="shared" si="56"/>
        <v>0</v>
      </c>
      <c r="P101" s="461">
        <v>0</v>
      </c>
      <c r="Q101" s="462">
        <f>(P71+R71/2)*((P50-Q50)*(1+$S$46))*Faktory!$D$10</f>
        <v>0</v>
      </c>
      <c r="R101" s="402">
        <f t="shared" si="57"/>
        <v>0</v>
      </c>
    </row>
    <row r="102" spans="1:18" x14ac:dyDescent="0.3">
      <c r="A102" s="752"/>
      <c r="B102" s="754"/>
      <c r="C102" s="450" t="s">
        <v>30</v>
      </c>
      <c r="D102" s="451">
        <f t="shared" si="51"/>
        <v>0</v>
      </c>
      <c r="E102" s="452">
        <f t="shared" si="52"/>
        <v>0</v>
      </c>
      <c r="F102" s="453">
        <f t="shared" si="53"/>
        <v>0</v>
      </c>
      <c r="G102" s="460">
        <v>0</v>
      </c>
      <c r="H102" s="461">
        <f>(G72+I72/2)*((G51-H51)*(1+$S$46))*Faktory!$D$10</f>
        <v>0</v>
      </c>
      <c r="I102" s="400">
        <f t="shared" si="54"/>
        <v>0</v>
      </c>
      <c r="J102" s="461">
        <v>0</v>
      </c>
      <c r="K102" s="461">
        <f>(J72+L72/2)*((J51-K51)*(1+$S$46))*Faktory!$D$10</f>
        <v>0</v>
      </c>
      <c r="L102" s="400">
        <f t="shared" si="55"/>
        <v>0</v>
      </c>
      <c r="M102" s="461">
        <v>0</v>
      </c>
      <c r="N102" s="461">
        <f>(M72+O72/2)*((M51-N51)*(1+$S$46))*Faktory!$D$10</f>
        <v>0</v>
      </c>
      <c r="O102" s="400">
        <f t="shared" si="56"/>
        <v>0</v>
      </c>
      <c r="P102" s="461">
        <v>0</v>
      </c>
      <c r="Q102" s="462">
        <f>(P72+R72/2)*((P51-Q51)*(1+$S$46))*Faktory!$D$10</f>
        <v>0</v>
      </c>
      <c r="R102" s="402">
        <f t="shared" si="57"/>
        <v>0</v>
      </c>
    </row>
    <row r="103" spans="1:18" x14ac:dyDescent="0.3">
      <c r="A103" s="752"/>
      <c r="B103" s="754"/>
      <c r="C103" s="450" t="s">
        <v>31</v>
      </c>
      <c r="D103" s="451">
        <f t="shared" si="51"/>
        <v>0</v>
      </c>
      <c r="E103" s="452">
        <f t="shared" si="52"/>
        <v>0</v>
      </c>
      <c r="F103" s="453">
        <f t="shared" si="53"/>
        <v>0</v>
      </c>
      <c r="G103" s="460">
        <v>0</v>
      </c>
      <c r="H103" s="461">
        <f>(G73+I73/2)*((G52-H52)*(1+$S$46))*Faktory!$D$10</f>
        <v>0</v>
      </c>
      <c r="I103" s="400">
        <f t="shared" si="54"/>
        <v>0</v>
      </c>
      <c r="J103" s="461">
        <v>0</v>
      </c>
      <c r="K103" s="461">
        <f>(J73+L73/2)*((J52-K52)*(1+$S$46))*Faktory!$D$10</f>
        <v>0</v>
      </c>
      <c r="L103" s="400">
        <f t="shared" si="55"/>
        <v>0</v>
      </c>
      <c r="M103" s="461">
        <v>0</v>
      </c>
      <c r="N103" s="461">
        <f>(M73+O73/2)*((M52-N52)*(1+$S$46))*Faktory!$D$10</f>
        <v>0</v>
      </c>
      <c r="O103" s="400">
        <f t="shared" si="56"/>
        <v>0</v>
      </c>
      <c r="P103" s="461">
        <v>0</v>
      </c>
      <c r="Q103" s="462">
        <f>(P73+R73/2)*((P52-Q52)*(1+$S$46))*Faktory!$D$10</f>
        <v>0</v>
      </c>
      <c r="R103" s="402">
        <f t="shared" si="57"/>
        <v>0</v>
      </c>
    </row>
    <row r="104" spans="1:18" x14ac:dyDescent="0.3">
      <c r="A104" s="752"/>
      <c r="B104" s="754"/>
      <c r="C104" s="450" t="s">
        <v>32</v>
      </c>
      <c r="D104" s="451">
        <f t="shared" si="51"/>
        <v>0</v>
      </c>
      <c r="E104" s="452">
        <f t="shared" si="52"/>
        <v>0</v>
      </c>
      <c r="F104" s="453">
        <f t="shared" si="53"/>
        <v>0</v>
      </c>
      <c r="G104" s="460">
        <v>0</v>
      </c>
      <c r="H104" s="461">
        <f>(G74+I74/2)*((G53-H53)*(1+$S$46))*Faktory!$D$10</f>
        <v>0</v>
      </c>
      <c r="I104" s="400">
        <f t="shared" si="54"/>
        <v>0</v>
      </c>
      <c r="J104" s="461">
        <v>0</v>
      </c>
      <c r="K104" s="461">
        <f>(J74+L74/2)*((J53-K53)*(1+$S$46))*Faktory!$D$10</f>
        <v>0</v>
      </c>
      <c r="L104" s="400">
        <f t="shared" si="55"/>
        <v>0</v>
      </c>
      <c r="M104" s="461">
        <v>0</v>
      </c>
      <c r="N104" s="461">
        <f>(M74+O74/2)*((M53-N53)*(1+$S$46))*Faktory!$D$10</f>
        <v>0</v>
      </c>
      <c r="O104" s="400">
        <f t="shared" si="56"/>
        <v>0</v>
      </c>
      <c r="P104" s="461">
        <v>0</v>
      </c>
      <c r="Q104" s="462">
        <f>(P74+R74/2)*((P53-Q53)*(1+$S$46))*Faktory!$D$10</f>
        <v>0</v>
      </c>
      <c r="R104" s="402">
        <f t="shared" si="57"/>
        <v>0</v>
      </c>
    </row>
    <row r="105" spans="1:18" x14ac:dyDescent="0.3">
      <c r="A105" s="752"/>
      <c r="B105" s="754"/>
      <c r="C105" s="450" t="s">
        <v>33</v>
      </c>
      <c r="D105" s="451">
        <f t="shared" si="51"/>
        <v>0</v>
      </c>
      <c r="E105" s="452">
        <f t="shared" si="52"/>
        <v>0</v>
      </c>
      <c r="F105" s="453">
        <f t="shared" si="53"/>
        <v>0</v>
      </c>
      <c r="G105" s="460">
        <v>0</v>
      </c>
      <c r="H105" s="461">
        <f>(G75+I75/2)*((G54-H54)*(1+$S$46))*Faktory!$D$10</f>
        <v>0</v>
      </c>
      <c r="I105" s="400">
        <f t="shared" si="54"/>
        <v>0</v>
      </c>
      <c r="J105" s="461">
        <v>0</v>
      </c>
      <c r="K105" s="461">
        <f>(J75+L75/2)*((J54-K54)*(1+$S$46))*Faktory!$D$10</f>
        <v>0</v>
      </c>
      <c r="L105" s="400">
        <f t="shared" si="55"/>
        <v>0</v>
      </c>
      <c r="M105" s="461">
        <v>0</v>
      </c>
      <c r="N105" s="461">
        <f>(M75+O75/2)*((M54-N54)*(1+$S$46))*Faktory!$D$10</f>
        <v>0</v>
      </c>
      <c r="O105" s="400">
        <f t="shared" si="56"/>
        <v>0</v>
      </c>
      <c r="P105" s="461">
        <v>0</v>
      </c>
      <c r="Q105" s="462">
        <f>(P75+R75/2)*((P54-Q54)*(1+$S$46))*Faktory!$D$10</f>
        <v>0</v>
      </c>
      <c r="R105" s="402">
        <f t="shared" si="57"/>
        <v>0</v>
      </c>
    </row>
    <row r="106" spans="1:18" ht="15" thickBot="1" x14ac:dyDescent="0.35">
      <c r="A106" s="753"/>
      <c r="B106" s="755"/>
      <c r="C106" s="463" t="s">
        <v>34</v>
      </c>
      <c r="D106" s="464">
        <f t="shared" si="51"/>
        <v>0</v>
      </c>
      <c r="E106" s="465">
        <f t="shared" si="52"/>
        <v>0</v>
      </c>
      <c r="F106" s="466">
        <f t="shared" si="53"/>
        <v>0</v>
      </c>
      <c r="G106" s="467">
        <v>0</v>
      </c>
      <c r="H106" s="468">
        <f>(G76+I76/2)*((G55-H55)*(1+$S$46))*Faktory!$D$10</f>
        <v>0</v>
      </c>
      <c r="I106" s="409">
        <f t="shared" si="54"/>
        <v>0</v>
      </c>
      <c r="J106" s="468">
        <v>0</v>
      </c>
      <c r="K106" s="468">
        <f>(J76+L76/2)*((J55-K55)*(1+$S$46))*Faktory!$D$10</f>
        <v>0</v>
      </c>
      <c r="L106" s="409">
        <f t="shared" si="55"/>
        <v>0</v>
      </c>
      <c r="M106" s="468">
        <v>0</v>
      </c>
      <c r="N106" s="468">
        <f>(M76+O76/2)*((M55-N55)*(1+$S$46))*Faktory!$D$10</f>
        <v>0</v>
      </c>
      <c r="O106" s="409">
        <f t="shared" si="56"/>
        <v>0</v>
      </c>
      <c r="P106" s="468">
        <v>0</v>
      </c>
      <c r="Q106" s="469">
        <f>(P76+R76/2)*((P55-Q55)*(1+$S$46))*Faktory!$D$10</f>
        <v>0</v>
      </c>
      <c r="R106" s="411">
        <f t="shared" si="57"/>
        <v>0</v>
      </c>
    </row>
    <row r="107" spans="1:18" x14ac:dyDescent="0.3">
      <c r="A107" s="752" t="s">
        <v>184</v>
      </c>
      <c r="B107" s="754" t="s">
        <v>13</v>
      </c>
      <c r="C107" s="450" t="s">
        <v>25</v>
      </c>
      <c r="D107" s="451">
        <f>G107+J107+M107+P107</f>
        <v>0</v>
      </c>
      <c r="E107" s="452">
        <f t="shared" si="52"/>
        <v>0</v>
      </c>
      <c r="F107" s="453">
        <f>E107-D107</f>
        <v>0</v>
      </c>
      <c r="G107" s="470">
        <f t="shared" ref="G107:H116" si="58">G6*G16</f>
        <v>0</v>
      </c>
      <c r="H107" s="471">
        <f t="shared" si="58"/>
        <v>0</v>
      </c>
      <c r="I107" s="389">
        <f>H107-G107</f>
        <v>0</v>
      </c>
      <c r="J107" s="471">
        <f t="shared" ref="J107:K116" si="59">J6*J16</f>
        <v>0</v>
      </c>
      <c r="K107" s="471">
        <f t="shared" si="59"/>
        <v>0</v>
      </c>
      <c r="L107" s="389">
        <f t="shared" ref="L107:L116" si="60">K107-J107</f>
        <v>0</v>
      </c>
      <c r="M107" s="471">
        <f t="shared" ref="M107:N116" si="61">M6*M16</f>
        <v>0</v>
      </c>
      <c r="N107" s="471">
        <f t="shared" si="61"/>
        <v>0</v>
      </c>
      <c r="O107" s="389">
        <f t="shared" ref="O107:O116" si="62">N107-M107</f>
        <v>0</v>
      </c>
      <c r="P107" s="471">
        <f t="shared" ref="P107:Q116" si="63">P6*P16</f>
        <v>0</v>
      </c>
      <c r="Q107" s="472">
        <f t="shared" si="63"/>
        <v>0</v>
      </c>
      <c r="R107" s="473">
        <f t="shared" ref="R107:R116" si="64">Q107-P107</f>
        <v>0</v>
      </c>
    </row>
    <row r="108" spans="1:18" x14ac:dyDescent="0.3">
      <c r="A108" s="752"/>
      <c r="B108" s="754"/>
      <c r="C108" s="450" t="s">
        <v>26</v>
      </c>
      <c r="D108" s="451">
        <f t="shared" ref="D108:D116" si="65">G108+J108+M108+P108</f>
        <v>0</v>
      </c>
      <c r="E108" s="452">
        <f t="shared" si="52"/>
        <v>0</v>
      </c>
      <c r="F108" s="453">
        <f t="shared" ref="F108:F116" si="66">E108-D108</f>
        <v>0</v>
      </c>
      <c r="G108" s="460">
        <f t="shared" si="58"/>
        <v>0</v>
      </c>
      <c r="H108" s="461">
        <f t="shared" si="58"/>
        <v>0</v>
      </c>
      <c r="I108" s="400">
        <f t="shared" ref="I108:I116" si="67">H108-G108</f>
        <v>0</v>
      </c>
      <c r="J108" s="461">
        <f t="shared" si="59"/>
        <v>0</v>
      </c>
      <c r="K108" s="461">
        <f t="shared" si="59"/>
        <v>0</v>
      </c>
      <c r="L108" s="400">
        <f t="shared" si="60"/>
        <v>0</v>
      </c>
      <c r="M108" s="461">
        <f t="shared" si="61"/>
        <v>0</v>
      </c>
      <c r="N108" s="461">
        <f t="shared" si="61"/>
        <v>0</v>
      </c>
      <c r="O108" s="400">
        <f t="shared" si="62"/>
        <v>0</v>
      </c>
      <c r="P108" s="461">
        <f t="shared" si="63"/>
        <v>0</v>
      </c>
      <c r="Q108" s="462">
        <f t="shared" si="63"/>
        <v>0</v>
      </c>
      <c r="R108" s="402">
        <f t="shared" si="64"/>
        <v>0</v>
      </c>
    </row>
    <row r="109" spans="1:18" x14ac:dyDescent="0.3">
      <c r="A109" s="752"/>
      <c r="B109" s="754"/>
      <c r="C109" s="450" t="s">
        <v>27</v>
      </c>
      <c r="D109" s="451">
        <f t="shared" si="65"/>
        <v>0</v>
      </c>
      <c r="E109" s="452">
        <f t="shared" si="52"/>
        <v>0</v>
      </c>
      <c r="F109" s="453">
        <f t="shared" si="66"/>
        <v>0</v>
      </c>
      <c r="G109" s="460">
        <f t="shared" si="58"/>
        <v>0</v>
      </c>
      <c r="H109" s="461">
        <f t="shared" si="58"/>
        <v>0</v>
      </c>
      <c r="I109" s="400">
        <f t="shared" si="67"/>
        <v>0</v>
      </c>
      <c r="J109" s="461">
        <f t="shared" si="59"/>
        <v>0</v>
      </c>
      <c r="K109" s="461">
        <f t="shared" si="59"/>
        <v>0</v>
      </c>
      <c r="L109" s="400">
        <f t="shared" si="60"/>
        <v>0</v>
      </c>
      <c r="M109" s="461">
        <f t="shared" si="61"/>
        <v>0</v>
      </c>
      <c r="N109" s="461">
        <f t="shared" si="61"/>
        <v>0</v>
      </c>
      <c r="O109" s="400">
        <f t="shared" si="62"/>
        <v>0</v>
      </c>
      <c r="P109" s="461">
        <f t="shared" si="63"/>
        <v>0</v>
      </c>
      <c r="Q109" s="462">
        <f t="shared" si="63"/>
        <v>0</v>
      </c>
      <c r="R109" s="402">
        <f t="shared" si="64"/>
        <v>0</v>
      </c>
    </row>
    <row r="110" spans="1:18" x14ac:dyDescent="0.3">
      <c r="A110" s="752"/>
      <c r="B110" s="754"/>
      <c r="C110" s="450" t="s">
        <v>28</v>
      </c>
      <c r="D110" s="451">
        <f t="shared" si="65"/>
        <v>0</v>
      </c>
      <c r="E110" s="452">
        <f t="shared" si="52"/>
        <v>0</v>
      </c>
      <c r="F110" s="453">
        <f t="shared" si="66"/>
        <v>0</v>
      </c>
      <c r="G110" s="460">
        <f t="shared" si="58"/>
        <v>0</v>
      </c>
      <c r="H110" s="461">
        <f t="shared" si="58"/>
        <v>0</v>
      </c>
      <c r="I110" s="400">
        <f t="shared" si="67"/>
        <v>0</v>
      </c>
      <c r="J110" s="461">
        <f t="shared" si="59"/>
        <v>0</v>
      </c>
      <c r="K110" s="461">
        <f t="shared" si="59"/>
        <v>0</v>
      </c>
      <c r="L110" s="400">
        <f t="shared" si="60"/>
        <v>0</v>
      </c>
      <c r="M110" s="461">
        <f t="shared" si="61"/>
        <v>0</v>
      </c>
      <c r="N110" s="461">
        <f t="shared" si="61"/>
        <v>0</v>
      </c>
      <c r="O110" s="400">
        <f t="shared" si="62"/>
        <v>0</v>
      </c>
      <c r="P110" s="461">
        <f t="shared" si="63"/>
        <v>0</v>
      </c>
      <c r="Q110" s="462">
        <f t="shared" si="63"/>
        <v>0</v>
      </c>
      <c r="R110" s="402">
        <f t="shared" si="64"/>
        <v>0</v>
      </c>
    </row>
    <row r="111" spans="1:18" x14ac:dyDescent="0.3">
      <c r="A111" s="752"/>
      <c r="B111" s="754"/>
      <c r="C111" s="450" t="s">
        <v>29</v>
      </c>
      <c r="D111" s="451">
        <f t="shared" si="65"/>
        <v>0</v>
      </c>
      <c r="E111" s="452">
        <f t="shared" si="52"/>
        <v>0</v>
      </c>
      <c r="F111" s="453">
        <f t="shared" si="66"/>
        <v>0</v>
      </c>
      <c r="G111" s="460">
        <f t="shared" si="58"/>
        <v>0</v>
      </c>
      <c r="H111" s="461">
        <f t="shared" si="58"/>
        <v>0</v>
      </c>
      <c r="I111" s="400">
        <f t="shared" si="67"/>
        <v>0</v>
      </c>
      <c r="J111" s="461">
        <f t="shared" si="59"/>
        <v>0</v>
      </c>
      <c r="K111" s="461">
        <f t="shared" si="59"/>
        <v>0</v>
      </c>
      <c r="L111" s="400">
        <f t="shared" si="60"/>
        <v>0</v>
      </c>
      <c r="M111" s="461">
        <f t="shared" si="61"/>
        <v>0</v>
      </c>
      <c r="N111" s="461">
        <f t="shared" si="61"/>
        <v>0</v>
      </c>
      <c r="O111" s="400">
        <f t="shared" si="62"/>
        <v>0</v>
      </c>
      <c r="P111" s="461">
        <f t="shared" si="63"/>
        <v>0</v>
      </c>
      <c r="Q111" s="462">
        <f t="shared" si="63"/>
        <v>0</v>
      </c>
      <c r="R111" s="402">
        <f t="shared" si="64"/>
        <v>0</v>
      </c>
    </row>
    <row r="112" spans="1:18" x14ac:dyDescent="0.3">
      <c r="A112" s="752"/>
      <c r="B112" s="754"/>
      <c r="C112" s="450" t="s">
        <v>30</v>
      </c>
      <c r="D112" s="451">
        <f t="shared" si="65"/>
        <v>0</v>
      </c>
      <c r="E112" s="452">
        <f t="shared" si="52"/>
        <v>0</v>
      </c>
      <c r="F112" s="453">
        <f t="shared" si="66"/>
        <v>0</v>
      </c>
      <c r="G112" s="460">
        <f t="shared" si="58"/>
        <v>0</v>
      </c>
      <c r="H112" s="461">
        <f t="shared" si="58"/>
        <v>0</v>
      </c>
      <c r="I112" s="400">
        <f t="shared" si="67"/>
        <v>0</v>
      </c>
      <c r="J112" s="461">
        <f t="shared" si="59"/>
        <v>0</v>
      </c>
      <c r="K112" s="461">
        <f t="shared" si="59"/>
        <v>0</v>
      </c>
      <c r="L112" s="400">
        <f t="shared" si="60"/>
        <v>0</v>
      </c>
      <c r="M112" s="461">
        <f t="shared" si="61"/>
        <v>0</v>
      </c>
      <c r="N112" s="461">
        <f t="shared" si="61"/>
        <v>0</v>
      </c>
      <c r="O112" s="400">
        <f t="shared" si="62"/>
        <v>0</v>
      </c>
      <c r="P112" s="461">
        <f t="shared" si="63"/>
        <v>0</v>
      </c>
      <c r="Q112" s="462">
        <f t="shared" si="63"/>
        <v>0</v>
      </c>
      <c r="R112" s="402">
        <f t="shared" si="64"/>
        <v>0</v>
      </c>
    </row>
    <row r="113" spans="1:19" x14ac:dyDescent="0.3">
      <c r="A113" s="752"/>
      <c r="B113" s="754"/>
      <c r="C113" s="450" t="s">
        <v>31</v>
      </c>
      <c r="D113" s="451">
        <f t="shared" si="65"/>
        <v>0</v>
      </c>
      <c r="E113" s="452">
        <f t="shared" si="52"/>
        <v>0</v>
      </c>
      <c r="F113" s="453">
        <f t="shared" si="66"/>
        <v>0</v>
      </c>
      <c r="G113" s="460">
        <f t="shared" si="58"/>
        <v>0</v>
      </c>
      <c r="H113" s="461">
        <f t="shared" si="58"/>
        <v>0</v>
      </c>
      <c r="I113" s="400">
        <f t="shared" si="67"/>
        <v>0</v>
      </c>
      <c r="J113" s="461">
        <f t="shared" si="59"/>
        <v>0</v>
      </c>
      <c r="K113" s="461">
        <f t="shared" si="59"/>
        <v>0</v>
      </c>
      <c r="L113" s="400">
        <f t="shared" si="60"/>
        <v>0</v>
      </c>
      <c r="M113" s="461">
        <f t="shared" si="61"/>
        <v>0</v>
      </c>
      <c r="N113" s="461">
        <f t="shared" si="61"/>
        <v>0</v>
      </c>
      <c r="O113" s="400">
        <f t="shared" si="62"/>
        <v>0</v>
      </c>
      <c r="P113" s="461">
        <f t="shared" si="63"/>
        <v>0</v>
      </c>
      <c r="Q113" s="462">
        <f t="shared" si="63"/>
        <v>0</v>
      </c>
      <c r="R113" s="402">
        <f t="shared" si="64"/>
        <v>0</v>
      </c>
    </row>
    <row r="114" spans="1:19" x14ac:dyDescent="0.3">
      <c r="A114" s="752"/>
      <c r="B114" s="754"/>
      <c r="C114" s="450" t="s">
        <v>32</v>
      </c>
      <c r="D114" s="451">
        <f t="shared" si="65"/>
        <v>0</v>
      </c>
      <c r="E114" s="452">
        <f t="shared" si="52"/>
        <v>0</v>
      </c>
      <c r="F114" s="453">
        <f t="shared" si="66"/>
        <v>0</v>
      </c>
      <c r="G114" s="460">
        <f t="shared" si="58"/>
        <v>0</v>
      </c>
      <c r="H114" s="461">
        <f t="shared" si="58"/>
        <v>0</v>
      </c>
      <c r="I114" s="400">
        <f t="shared" si="67"/>
        <v>0</v>
      </c>
      <c r="J114" s="461">
        <f t="shared" si="59"/>
        <v>0</v>
      </c>
      <c r="K114" s="461">
        <f t="shared" si="59"/>
        <v>0</v>
      </c>
      <c r="L114" s="400">
        <f t="shared" si="60"/>
        <v>0</v>
      </c>
      <c r="M114" s="461">
        <f t="shared" si="61"/>
        <v>0</v>
      </c>
      <c r="N114" s="461">
        <f t="shared" si="61"/>
        <v>0</v>
      </c>
      <c r="O114" s="400">
        <f t="shared" si="62"/>
        <v>0</v>
      </c>
      <c r="P114" s="461">
        <f t="shared" si="63"/>
        <v>0</v>
      </c>
      <c r="Q114" s="462">
        <f t="shared" si="63"/>
        <v>0</v>
      </c>
      <c r="R114" s="402">
        <f t="shared" si="64"/>
        <v>0</v>
      </c>
    </row>
    <row r="115" spans="1:19" x14ac:dyDescent="0.3">
      <c r="A115" s="752"/>
      <c r="B115" s="754"/>
      <c r="C115" s="450" t="s">
        <v>33</v>
      </c>
      <c r="D115" s="451">
        <f t="shared" si="65"/>
        <v>0</v>
      </c>
      <c r="E115" s="452">
        <f t="shared" si="52"/>
        <v>0</v>
      </c>
      <c r="F115" s="453">
        <f t="shared" si="66"/>
        <v>0</v>
      </c>
      <c r="G115" s="460">
        <f t="shared" si="58"/>
        <v>0</v>
      </c>
      <c r="H115" s="461">
        <f t="shared" si="58"/>
        <v>0</v>
      </c>
      <c r="I115" s="400">
        <f t="shared" si="67"/>
        <v>0</v>
      </c>
      <c r="J115" s="461">
        <f t="shared" si="59"/>
        <v>0</v>
      </c>
      <c r="K115" s="461">
        <f t="shared" si="59"/>
        <v>0</v>
      </c>
      <c r="L115" s="400">
        <f t="shared" si="60"/>
        <v>0</v>
      </c>
      <c r="M115" s="461">
        <f t="shared" si="61"/>
        <v>0</v>
      </c>
      <c r="N115" s="461">
        <f t="shared" si="61"/>
        <v>0</v>
      </c>
      <c r="O115" s="400">
        <f t="shared" si="62"/>
        <v>0</v>
      </c>
      <c r="P115" s="461">
        <f t="shared" si="63"/>
        <v>0</v>
      </c>
      <c r="Q115" s="462">
        <f t="shared" si="63"/>
        <v>0</v>
      </c>
      <c r="R115" s="402">
        <f t="shared" si="64"/>
        <v>0</v>
      </c>
    </row>
    <row r="116" spans="1:19" ht="15" thickBot="1" x14ac:dyDescent="0.35">
      <c r="A116" s="753"/>
      <c r="B116" s="755"/>
      <c r="C116" s="463" t="s">
        <v>34</v>
      </c>
      <c r="D116" s="464">
        <f t="shared" si="65"/>
        <v>0</v>
      </c>
      <c r="E116" s="465">
        <f t="shared" si="52"/>
        <v>0</v>
      </c>
      <c r="F116" s="466">
        <f t="shared" si="66"/>
        <v>0</v>
      </c>
      <c r="G116" s="467">
        <f t="shared" si="58"/>
        <v>0</v>
      </c>
      <c r="H116" s="468">
        <f t="shared" si="58"/>
        <v>0</v>
      </c>
      <c r="I116" s="409">
        <f t="shared" si="67"/>
        <v>0</v>
      </c>
      <c r="J116" s="468">
        <f t="shared" si="59"/>
        <v>0</v>
      </c>
      <c r="K116" s="468">
        <f t="shared" si="59"/>
        <v>0</v>
      </c>
      <c r="L116" s="409">
        <f t="shared" si="60"/>
        <v>0</v>
      </c>
      <c r="M116" s="468">
        <f t="shared" si="61"/>
        <v>0</v>
      </c>
      <c r="N116" s="468">
        <f t="shared" si="61"/>
        <v>0</v>
      </c>
      <c r="O116" s="409">
        <f t="shared" si="62"/>
        <v>0</v>
      </c>
      <c r="P116" s="468">
        <f t="shared" si="63"/>
        <v>0</v>
      </c>
      <c r="Q116" s="469">
        <f t="shared" si="63"/>
        <v>0</v>
      </c>
      <c r="R116" s="411">
        <f t="shared" si="64"/>
        <v>0</v>
      </c>
    </row>
    <row r="117" spans="1:19" x14ac:dyDescent="0.3">
      <c r="A117" s="752" t="s">
        <v>179</v>
      </c>
      <c r="B117" s="754" t="s">
        <v>13</v>
      </c>
      <c r="C117" s="450" t="s">
        <v>25</v>
      </c>
      <c r="D117" s="451">
        <f>G117+J117+M117+P117</f>
        <v>0</v>
      </c>
      <c r="E117" s="452">
        <f>H117+K117+N117+Q117</f>
        <v>0</v>
      </c>
      <c r="F117" s="453">
        <f>I117+L117+O117+R117</f>
        <v>0</v>
      </c>
      <c r="G117" s="470">
        <f t="shared" ref="G117:H126" si="68">G6*G26</f>
        <v>0</v>
      </c>
      <c r="H117" s="471">
        <f t="shared" si="68"/>
        <v>0</v>
      </c>
      <c r="I117" s="389">
        <f>H117-G117</f>
        <v>0</v>
      </c>
      <c r="J117" s="471">
        <f t="shared" ref="J117:K126" si="69">J6*J26</f>
        <v>0</v>
      </c>
      <c r="K117" s="471">
        <f t="shared" si="69"/>
        <v>0</v>
      </c>
      <c r="L117" s="389">
        <f>K117-J117</f>
        <v>0</v>
      </c>
      <c r="M117" s="471">
        <f t="shared" ref="M117:N126" si="70">M6*M26</f>
        <v>0</v>
      </c>
      <c r="N117" s="471">
        <f t="shared" si="70"/>
        <v>0</v>
      </c>
      <c r="O117" s="389">
        <f>N117-M117</f>
        <v>0</v>
      </c>
      <c r="P117" s="471">
        <f t="shared" ref="P117:Q126" si="71">P6*P26</f>
        <v>0</v>
      </c>
      <c r="Q117" s="472">
        <f t="shared" si="71"/>
        <v>0</v>
      </c>
      <c r="R117" s="473">
        <f>Q117-P117</f>
        <v>0</v>
      </c>
    </row>
    <row r="118" spans="1:19" x14ac:dyDescent="0.3">
      <c r="A118" s="752"/>
      <c r="B118" s="754"/>
      <c r="C118" s="450" t="s">
        <v>26</v>
      </c>
      <c r="D118" s="451">
        <f t="shared" ref="D118:D126" si="72">G118+J118+M118+P118</f>
        <v>0</v>
      </c>
      <c r="E118" s="452">
        <f t="shared" ref="E118:E126" si="73">H118+K118+N118+Q118</f>
        <v>0</v>
      </c>
      <c r="F118" s="453">
        <f t="shared" ref="F118:F126" si="74">I118+L118+O118+R118</f>
        <v>0</v>
      </c>
      <c r="G118" s="460">
        <f t="shared" si="68"/>
        <v>0</v>
      </c>
      <c r="H118" s="461">
        <f t="shared" si="68"/>
        <v>0</v>
      </c>
      <c r="I118" s="400">
        <f t="shared" ref="I118:I126" si="75">H118-G118</f>
        <v>0</v>
      </c>
      <c r="J118" s="461">
        <f t="shared" si="69"/>
        <v>0</v>
      </c>
      <c r="K118" s="461">
        <f t="shared" si="69"/>
        <v>0</v>
      </c>
      <c r="L118" s="400">
        <f t="shared" ref="L118:L126" si="76">K118-J118</f>
        <v>0</v>
      </c>
      <c r="M118" s="461">
        <f t="shared" si="70"/>
        <v>0</v>
      </c>
      <c r="N118" s="461">
        <f t="shared" si="70"/>
        <v>0</v>
      </c>
      <c r="O118" s="400">
        <f t="shared" ref="O118:O126" si="77">N118-M118</f>
        <v>0</v>
      </c>
      <c r="P118" s="461">
        <f t="shared" si="71"/>
        <v>0</v>
      </c>
      <c r="Q118" s="462">
        <f t="shared" si="71"/>
        <v>0</v>
      </c>
      <c r="R118" s="402">
        <f t="shared" ref="R118:R126" si="78">Q118-P118</f>
        <v>0</v>
      </c>
    </row>
    <row r="119" spans="1:19" x14ac:dyDescent="0.3">
      <c r="A119" s="752"/>
      <c r="B119" s="754"/>
      <c r="C119" s="450" t="s">
        <v>27</v>
      </c>
      <c r="D119" s="451">
        <f t="shared" si="72"/>
        <v>0</v>
      </c>
      <c r="E119" s="452">
        <f t="shared" si="73"/>
        <v>0</v>
      </c>
      <c r="F119" s="453">
        <f t="shared" si="74"/>
        <v>0</v>
      </c>
      <c r="G119" s="460">
        <f t="shared" si="68"/>
        <v>0</v>
      </c>
      <c r="H119" s="461">
        <f t="shared" si="68"/>
        <v>0</v>
      </c>
      <c r="I119" s="400">
        <f t="shared" si="75"/>
        <v>0</v>
      </c>
      <c r="J119" s="461">
        <f t="shared" si="69"/>
        <v>0</v>
      </c>
      <c r="K119" s="461">
        <f t="shared" si="69"/>
        <v>0</v>
      </c>
      <c r="L119" s="400">
        <f t="shared" si="76"/>
        <v>0</v>
      </c>
      <c r="M119" s="461">
        <f t="shared" si="70"/>
        <v>0</v>
      </c>
      <c r="N119" s="461">
        <f t="shared" si="70"/>
        <v>0</v>
      </c>
      <c r="O119" s="400">
        <f t="shared" si="77"/>
        <v>0</v>
      </c>
      <c r="P119" s="461">
        <f t="shared" si="71"/>
        <v>0</v>
      </c>
      <c r="Q119" s="462">
        <f t="shared" si="71"/>
        <v>0</v>
      </c>
      <c r="R119" s="402">
        <f t="shared" si="78"/>
        <v>0</v>
      </c>
    </row>
    <row r="120" spans="1:19" x14ac:dyDescent="0.3">
      <c r="A120" s="752"/>
      <c r="B120" s="754"/>
      <c r="C120" s="450" t="s">
        <v>28</v>
      </c>
      <c r="D120" s="451">
        <f t="shared" si="72"/>
        <v>0</v>
      </c>
      <c r="E120" s="452">
        <f t="shared" si="73"/>
        <v>0</v>
      </c>
      <c r="F120" s="453">
        <f t="shared" si="74"/>
        <v>0</v>
      </c>
      <c r="G120" s="460">
        <f t="shared" si="68"/>
        <v>0</v>
      </c>
      <c r="H120" s="461">
        <f t="shared" si="68"/>
        <v>0</v>
      </c>
      <c r="I120" s="400">
        <f t="shared" si="75"/>
        <v>0</v>
      </c>
      <c r="J120" s="461">
        <f t="shared" si="69"/>
        <v>0</v>
      </c>
      <c r="K120" s="461">
        <f t="shared" si="69"/>
        <v>0</v>
      </c>
      <c r="L120" s="400">
        <f t="shared" si="76"/>
        <v>0</v>
      </c>
      <c r="M120" s="461">
        <f t="shared" si="70"/>
        <v>0</v>
      </c>
      <c r="N120" s="461">
        <f t="shared" si="70"/>
        <v>0</v>
      </c>
      <c r="O120" s="400">
        <f t="shared" si="77"/>
        <v>0</v>
      </c>
      <c r="P120" s="461">
        <f t="shared" si="71"/>
        <v>0</v>
      </c>
      <c r="Q120" s="462">
        <f t="shared" si="71"/>
        <v>0</v>
      </c>
      <c r="R120" s="402">
        <f t="shared" si="78"/>
        <v>0</v>
      </c>
    </row>
    <row r="121" spans="1:19" x14ac:dyDescent="0.3">
      <c r="A121" s="752"/>
      <c r="B121" s="754"/>
      <c r="C121" s="450" t="s">
        <v>29</v>
      </c>
      <c r="D121" s="451">
        <f t="shared" si="72"/>
        <v>0</v>
      </c>
      <c r="E121" s="452">
        <f t="shared" si="73"/>
        <v>0</v>
      </c>
      <c r="F121" s="453">
        <f t="shared" si="74"/>
        <v>0</v>
      </c>
      <c r="G121" s="460">
        <f t="shared" si="68"/>
        <v>0</v>
      </c>
      <c r="H121" s="461">
        <f t="shared" si="68"/>
        <v>0</v>
      </c>
      <c r="I121" s="400">
        <f t="shared" si="75"/>
        <v>0</v>
      </c>
      <c r="J121" s="461">
        <f t="shared" si="69"/>
        <v>0</v>
      </c>
      <c r="K121" s="461">
        <f t="shared" si="69"/>
        <v>0</v>
      </c>
      <c r="L121" s="400">
        <f t="shared" si="76"/>
        <v>0</v>
      </c>
      <c r="M121" s="461">
        <f t="shared" si="70"/>
        <v>0</v>
      </c>
      <c r="N121" s="461">
        <f t="shared" si="70"/>
        <v>0</v>
      </c>
      <c r="O121" s="400">
        <f t="shared" si="77"/>
        <v>0</v>
      </c>
      <c r="P121" s="461">
        <f t="shared" si="71"/>
        <v>0</v>
      </c>
      <c r="Q121" s="462">
        <f t="shared" si="71"/>
        <v>0</v>
      </c>
      <c r="R121" s="402">
        <f t="shared" si="78"/>
        <v>0</v>
      </c>
    </row>
    <row r="122" spans="1:19" x14ac:dyDescent="0.3">
      <c r="A122" s="752"/>
      <c r="B122" s="754"/>
      <c r="C122" s="450" t="s">
        <v>30</v>
      </c>
      <c r="D122" s="451">
        <f t="shared" si="72"/>
        <v>0</v>
      </c>
      <c r="E122" s="452">
        <f t="shared" si="73"/>
        <v>0</v>
      </c>
      <c r="F122" s="453">
        <f t="shared" si="74"/>
        <v>0</v>
      </c>
      <c r="G122" s="460">
        <f t="shared" si="68"/>
        <v>0</v>
      </c>
      <c r="H122" s="461">
        <f t="shared" si="68"/>
        <v>0</v>
      </c>
      <c r="I122" s="400">
        <f t="shared" si="75"/>
        <v>0</v>
      </c>
      <c r="J122" s="461">
        <f t="shared" si="69"/>
        <v>0</v>
      </c>
      <c r="K122" s="461">
        <f t="shared" si="69"/>
        <v>0</v>
      </c>
      <c r="L122" s="400">
        <f t="shared" si="76"/>
        <v>0</v>
      </c>
      <c r="M122" s="461">
        <f t="shared" si="70"/>
        <v>0</v>
      </c>
      <c r="N122" s="461">
        <f t="shared" si="70"/>
        <v>0</v>
      </c>
      <c r="O122" s="400">
        <f t="shared" si="77"/>
        <v>0</v>
      </c>
      <c r="P122" s="461">
        <f t="shared" si="71"/>
        <v>0</v>
      </c>
      <c r="Q122" s="462">
        <f t="shared" si="71"/>
        <v>0</v>
      </c>
      <c r="R122" s="402">
        <f t="shared" si="78"/>
        <v>0</v>
      </c>
    </row>
    <row r="123" spans="1:19" x14ac:dyDescent="0.3">
      <c r="A123" s="752"/>
      <c r="B123" s="754"/>
      <c r="C123" s="450" t="s">
        <v>31</v>
      </c>
      <c r="D123" s="451">
        <f t="shared" si="72"/>
        <v>0</v>
      </c>
      <c r="E123" s="452">
        <f t="shared" si="73"/>
        <v>0</v>
      </c>
      <c r="F123" s="453">
        <f t="shared" si="74"/>
        <v>0</v>
      </c>
      <c r="G123" s="460">
        <f t="shared" si="68"/>
        <v>0</v>
      </c>
      <c r="H123" s="461">
        <f t="shared" si="68"/>
        <v>0</v>
      </c>
      <c r="I123" s="400">
        <f t="shared" si="75"/>
        <v>0</v>
      </c>
      <c r="J123" s="461">
        <f t="shared" si="69"/>
        <v>0</v>
      </c>
      <c r="K123" s="461">
        <f t="shared" si="69"/>
        <v>0</v>
      </c>
      <c r="L123" s="400">
        <f t="shared" si="76"/>
        <v>0</v>
      </c>
      <c r="M123" s="461">
        <f t="shared" si="70"/>
        <v>0</v>
      </c>
      <c r="N123" s="461">
        <f t="shared" si="70"/>
        <v>0</v>
      </c>
      <c r="O123" s="400">
        <f t="shared" si="77"/>
        <v>0</v>
      </c>
      <c r="P123" s="461">
        <f t="shared" si="71"/>
        <v>0</v>
      </c>
      <c r="Q123" s="462">
        <f t="shared" si="71"/>
        <v>0</v>
      </c>
      <c r="R123" s="402">
        <f t="shared" si="78"/>
        <v>0</v>
      </c>
    </row>
    <row r="124" spans="1:19" x14ac:dyDescent="0.3">
      <c r="A124" s="752"/>
      <c r="B124" s="754"/>
      <c r="C124" s="450" t="s">
        <v>32</v>
      </c>
      <c r="D124" s="451">
        <f t="shared" si="72"/>
        <v>0</v>
      </c>
      <c r="E124" s="452">
        <f t="shared" si="73"/>
        <v>0</v>
      </c>
      <c r="F124" s="453">
        <f t="shared" si="74"/>
        <v>0</v>
      </c>
      <c r="G124" s="460">
        <f t="shared" si="68"/>
        <v>0</v>
      </c>
      <c r="H124" s="461">
        <f t="shared" si="68"/>
        <v>0</v>
      </c>
      <c r="I124" s="400">
        <f t="shared" si="75"/>
        <v>0</v>
      </c>
      <c r="J124" s="461">
        <f t="shared" si="69"/>
        <v>0</v>
      </c>
      <c r="K124" s="461">
        <f t="shared" si="69"/>
        <v>0</v>
      </c>
      <c r="L124" s="400">
        <f t="shared" si="76"/>
        <v>0</v>
      </c>
      <c r="M124" s="461">
        <f t="shared" si="70"/>
        <v>0</v>
      </c>
      <c r="N124" s="461">
        <f t="shared" si="70"/>
        <v>0</v>
      </c>
      <c r="O124" s="400">
        <f t="shared" si="77"/>
        <v>0</v>
      </c>
      <c r="P124" s="461">
        <f t="shared" si="71"/>
        <v>0</v>
      </c>
      <c r="Q124" s="462">
        <f t="shared" si="71"/>
        <v>0</v>
      </c>
      <c r="R124" s="402">
        <f t="shared" si="78"/>
        <v>0</v>
      </c>
    </row>
    <row r="125" spans="1:19" x14ac:dyDescent="0.3">
      <c r="A125" s="752"/>
      <c r="B125" s="754"/>
      <c r="C125" s="450" t="s">
        <v>33</v>
      </c>
      <c r="D125" s="451">
        <f t="shared" si="72"/>
        <v>0</v>
      </c>
      <c r="E125" s="452">
        <f t="shared" si="73"/>
        <v>0</v>
      </c>
      <c r="F125" s="453">
        <f t="shared" si="74"/>
        <v>0</v>
      </c>
      <c r="G125" s="460">
        <f t="shared" si="68"/>
        <v>0</v>
      </c>
      <c r="H125" s="461">
        <f t="shared" si="68"/>
        <v>0</v>
      </c>
      <c r="I125" s="400">
        <f t="shared" si="75"/>
        <v>0</v>
      </c>
      <c r="J125" s="461">
        <f t="shared" si="69"/>
        <v>0</v>
      </c>
      <c r="K125" s="461">
        <f t="shared" si="69"/>
        <v>0</v>
      </c>
      <c r="L125" s="400">
        <f t="shared" si="76"/>
        <v>0</v>
      </c>
      <c r="M125" s="461">
        <f t="shared" si="70"/>
        <v>0</v>
      </c>
      <c r="N125" s="461">
        <f t="shared" si="70"/>
        <v>0</v>
      </c>
      <c r="O125" s="400">
        <f t="shared" si="77"/>
        <v>0</v>
      </c>
      <c r="P125" s="461">
        <f t="shared" si="71"/>
        <v>0</v>
      </c>
      <c r="Q125" s="462">
        <f t="shared" si="71"/>
        <v>0</v>
      </c>
      <c r="R125" s="402">
        <f t="shared" si="78"/>
        <v>0</v>
      </c>
    </row>
    <row r="126" spans="1:19" ht="15" thickBot="1" x14ac:dyDescent="0.35">
      <c r="A126" s="753"/>
      <c r="B126" s="755"/>
      <c r="C126" s="463" t="s">
        <v>34</v>
      </c>
      <c r="D126" s="464">
        <f t="shared" si="72"/>
        <v>0</v>
      </c>
      <c r="E126" s="465">
        <f t="shared" si="73"/>
        <v>0</v>
      </c>
      <c r="F126" s="466">
        <f t="shared" si="74"/>
        <v>0</v>
      </c>
      <c r="G126" s="467">
        <f t="shared" si="68"/>
        <v>0</v>
      </c>
      <c r="H126" s="468">
        <f t="shared" si="68"/>
        <v>0</v>
      </c>
      <c r="I126" s="409">
        <f t="shared" si="75"/>
        <v>0</v>
      </c>
      <c r="J126" s="468">
        <f t="shared" si="69"/>
        <v>0</v>
      </c>
      <c r="K126" s="468">
        <f t="shared" si="69"/>
        <v>0</v>
      </c>
      <c r="L126" s="409">
        <f t="shared" si="76"/>
        <v>0</v>
      </c>
      <c r="M126" s="468">
        <f t="shared" si="70"/>
        <v>0</v>
      </c>
      <c r="N126" s="468">
        <f t="shared" si="70"/>
        <v>0</v>
      </c>
      <c r="O126" s="409">
        <f t="shared" si="77"/>
        <v>0</v>
      </c>
      <c r="P126" s="468">
        <f t="shared" si="71"/>
        <v>0</v>
      </c>
      <c r="Q126" s="469">
        <f t="shared" si="71"/>
        <v>0</v>
      </c>
      <c r="R126" s="411">
        <f t="shared" si="78"/>
        <v>0</v>
      </c>
    </row>
    <row r="127" spans="1:19" x14ac:dyDescent="0.3">
      <c r="A127" s="752" t="s">
        <v>39</v>
      </c>
      <c r="B127" s="754" t="s">
        <v>13</v>
      </c>
      <c r="C127" s="450" t="s">
        <v>25</v>
      </c>
      <c r="D127" s="451">
        <f>G127+J127+M127+P127</f>
        <v>0</v>
      </c>
      <c r="E127" s="452">
        <f>H127+K127+N127+Q127</f>
        <v>0</v>
      </c>
      <c r="F127" s="453">
        <f>I127+L127+O127+R127</f>
        <v>0</v>
      </c>
      <c r="G127" s="470">
        <f>G56</f>
        <v>0</v>
      </c>
      <c r="H127" s="471">
        <f>H56*(1+$S$127)</f>
        <v>0</v>
      </c>
      <c r="I127" s="389">
        <f>H127-G127</f>
        <v>0</v>
      </c>
      <c r="J127" s="471">
        <f t="shared" ref="J127:J136" si="79">J56</f>
        <v>0</v>
      </c>
      <c r="K127" s="471">
        <f t="shared" ref="K127:K136" si="80">K56*(1+$S$127)</f>
        <v>0</v>
      </c>
      <c r="L127" s="389">
        <f>K127-J127</f>
        <v>0</v>
      </c>
      <c r="M127" s="471">
        <f t="shared" ref="M127:M136" si="81">M56</f>
        <v>0</v>
      </c>
      <c r="N127" s="471">
        <f t="shared" ref="N127:N136" si="82">N56*(1+$S$127)</f>
        <v>0</v>
      </c>
      <c r="O127" s="389">
        <f>N127-M127</f>
        <v>0</v>
      </c>
      <c r="P127" s="471">
        <f t="shared" ref="P127:P136" si="83">P56</f>
        <v>0</v>
      </c>
      <c r="Q127" s="472">
        <f t="shared" ref="Q127:Q136" si="84">Q56*(1+$S$127)</f>
        <v>0</v>
      </c>
      <c r="R127" s="473">
        <f>Q127-P127</f>
        <v>0</v>
      </c>
      <c r="S127" s="392">
        <f>'Analyza citlivosti - AgendovéIS'!H7</f>
        <v>0</v>
      </c>
    </row>
    <row r="128" spans="1:19" x14ac:dyDescent="0.3">
      <c r="A128" s="752"/>
      <c r="B128" s="754"/>
      <c r="C128" s="450" t="s">
        <v>26</v>
      </c>
      <c r="D128" s="451">
        <f t="shared" ref="D128:D136" si="85">G128+J128+M128+P128</f>
        <v>0</v>
      </c>
      <c r="E128" s="452">
        <f t="shared" ref="E128:E136" si="86">H128+K128+N128+Q128</f>
        <v>0</v>
      </c>
      <c r="F128" s="453">
        <f t="shared" ref="F128:F136" si="87">I128+L128+O128+R128</f>
        <v>0</v>
      </c>
      <c r="G128" s="460">
        <f t="shared" ref="G128:G136" si="88">G57</f>
        <v>0</v>
      </c>
      <c r="H128" s="461">
        <f t="shared" ref="H128:H136" si="89">H57*(1+$S$127)</f>
        <v>0</v>
      </c>
      <c r="I128" s="400">
        <f t="shared" ref="I128:I136" si="90">H128-G128</f>
        <v>0</v>
      </c>
      <c r="J128" s="461">
        <f t="shared" si="79"/>
        <v>0</v>
      </c>
      <c r="K128" s="461">
        <f t="shared" si="80"/>
        <v>0</v>
      </c>
      <c r="L128" s="400">
        <f t="shared" ref="L128:L136" si="91">K128-J128</f>
        <v>0</v>
      </c>
      <c r="M128" s="461">
        <f t="shared" si="81"/>
        <v>0</v>
      </c>
      <c r="N128" s="461">
        <f t="shared" si="82"/>
        <v>0</v>
      </c>
      <c r="O128" s="400">
        <f t="shared" ref="O128:O136" si="92">N128-M128</f>
        <v>0</v>
      </c>
      <c r="P128" s="461">
        <f t="shared" si="83"/>
        <v>0</v>
      </c>
      <c r="Q128" s="462">
        <f t="shared" si="84"/>
        <v>0</v>
      </c>
      <c r="R128" s="402">
        <f t="shared" ref="R128:R136" si="93">Q128-P128</f>
        <v>0</v>
      </c>
    </row>
    <row r="129" spans="1:18" x14ac:dyDescent="0.3">
      <c r="A129" s="752"/>
      <c r="B129" s="754"/>
      <c r="C129" s="450" t="s">
        <v>27</v>
      </c>
      <c r="D129" s="451">
        <f t="shared" si="85"/>
        <v>0</v>
      </c>
      <c r="E129" s="452">
        <f t="shared" si="86"/>
        <v>0</v>
      </c>
      <c r="F129" s="453">
        <f t="shared" si="87"/>
        <v>0</v>
      </c>
      <c r="G129" s="460">
        <f t="shared" si="88"/>
        <v>0</v>
      </c>
      <c r="H129" s="461">
        <f t="shared" si="89"/>
        <v>0</v>
      </c>
      <c r="I129" s="400">
        <f t="shared" si="90"/>
        <v>0</v>
      </c>
      <c r="J129" s="461">
        <f t="shared" si="79"/>
        <v>0</v>
      </c>
      <c r="K129" s="461">
        <f t="shared" si="80"/>
        <v>0</v>
      </c>
      <c r="L129" s="400">
        <f t="shared" si="91"/>
        <v>0</v>
      </c>
      <c r="M129" s="461">
        <f t="shared" si="81"/>
        <v>0</v>
      </c>
      <c r="N129" s="461">
        <f t="shared" si="82"/>
        <v>0</v>
      </c>
      <c r="O129" s="400">
        <f t="shared" si="92"/>
        <v>0</v>
      </c>
      <c r="P129" s="461">
        <f t="shared" si="83"/>
        <v>0</v>
      </c>
      <c r="Q129" s="462">
        <f t="shared" si="84"/>
        <v>0</v>
      </c>
      <c r="R129" s="402">
        <f t="shared" si="93"/>
        <v>0</v>
      </c>
    </row>
    <row r="130" spans="1:18" x14ac:dyDescent="0.3">
      <c r="A130" s="752"/>
      <c r="B130" s="754"/>
      <c r="C130" s="450" t="s">
        <v>28</v>
      </c>
      <c r="D130" s="451">
        <f t="shared" si="85"/>
        <v>0</v>
      </c>
      <c r="E130" s="452">
        <f t="shared" si="86"/>
        <v>0</v>
      </c>
      <c r="F130" s="453">
        <f t="shared" si="87"/>
        <v>0</v>
      </c>
      <c r="G130" s="460">
        <f t="shared" si="88"/>
        <v>0</v>
      </c>
      <c r="H130" s="461">
        <f t="shared" si="89"/>
        <v>0</v>
      </c>
      <c r="I130" s="400">
        <f t="shared" si="90"/>
        <v>0</v>
      </c>
      <c r="J130" s="461">
        <f t="shared" si="79"/>
        <v>0</v>
      </c>
      <c r="K130" s="461">
        <f t="shared" si="80"/>
        <v>0</v>
      </c>
      <c r="L130" s="400">
        <f t="shared" si="91"/>
        <v>0</v>
      </c>
      <c r="M130" s="461">
        <f t="shared" si="81"/>
        <v>0</v>
      </c>
      <c r="N130" s="461">
        <f t="shared" si="82"/>
        <v>0</v>
      </c>
      <c r="O130" s="400">
        <f t="shared" si="92"/>
        <v>0</v>
      </c>
      <c r="P130" s="461">
        <f t="shared" si="83"/>
        <v>0</v>
      </c>
      <c r="Q130" s="462">
        <f t="shared" si="84"/>
        <v>0</v>
      </c>
      <c r="R130" s="402">
        <f t="shared" si="93"/>
        <v>0</v>
      </c>
    </row>
    <row r="131" spans="1:18" x14ac:dyDescent="0.3">
      <c r="A131" s="752"/>
      <c r="B131" s="754"/>
      <c r="C131" s="450" t="s">
        <v>29</v>
      </c>
      <c r="D131" s="451">
        <f t="shared" si="85"/>
        <v>0</v>
      </c>
      <c r="E131" s="452">
        <f t="shared" si="86"/>
        <v>0</v>
      </c>
      <c r="F131" s="453">
        <f t="shared" si="87"/>
        <v>0</v>
      </c>
      <c r="G131" s="460">
        <f t="shared" si="88"/>
        <v>0</v>
      </c>
      <c r="H131" s="461">
        <f t="shared" si="89"/>
        <v>0</v>
      </c>
      <c r="I131" s="400">
        <f t="shared" si="90"/>
        <v>0</v>
      </c>
      <c r="J131" s="461">
        <f t="shared" si="79"/>
        <v>0</v>
      </c>
      <c r="K131" s="461">
        <f t="shared" si="80"/>
        <v>0</v>
      </c>
      <c r="L131" s="400">
        <f t="shared" si="91"/>
        <v>0</v>
      </c>
      <c r="M131" s="461">
        <f t="shared" si="81"/>
        <v>0</v>
      </c>
      <c r="N131" s="461">
        <f t="shared" si="82"/>
        <v>0</v>
      </c>
      <c r="O131" s="400">
        <f t="shared" si="92"/>
        <v>0</v>
      </c>
      <c r="P131" s="461">
        <f t="shared" si="83"/>
        <v>0</v>
      </c>
      <c r="Q131" s="462">
        <f t="shared" si="84"/>
        <v>0</v>
      </c>
      <c r="R131" s="402">
        <f t="shared" si="93"/>
        <v>0</v>
      </c>
    </row>
    <row r="132" spans="1:18" x14ac:dyDescent="0.3">
      <c r="A132" s="752"/>
      <c r="B132" s="754"/>
      <c r="C132" s="450" t="s">
        <v>30</v>
      </c>
      <c r="D132" s="451">
        <f t="shared" si="85"/>
        <v>0</v>
      </c>
      <c r="E132" s="452">
        <f t="shared" si="86"/>
        <v>0</v>
      </c>
      <c r="F132" s="453">
        <f t="shared" si="87"/>
        <v>0</v>
      </c>
      <c r="G132" s="460">
        <f t="shared" si="88"/>
        <v>0</v>
      </c>
      <c r="H132" s="461">
        <f t="shared" si="89"/>
        <v>0</v>
      </c>
      <c r="I132" s="400">
        <f t="shared" si="90"/>
        <v>0</v>
      </c>
      <c r="J132" s="461">
        <f t="shared" si="79"/>
        <v>0</v>
      </c>
      <c r="K132" s="461">
        <f t="shared" si="80"/>
        <v>0</v>
      </c>
      <c r="L132" s="400">
        <f t="shared" si="91"/>
        <v>0</v>
      </c>
      <c r="M132" s="461">
        <f t="shared" si="81"/>
        <v>0</v>
      </c>
      <c r="N132" s="461">
        <f t="shared" si="82"/>
        <v>0</v>
      </c>
      <c r="O132" s="400">
        <f t="shared" si="92"/>
        <v>0</v>
      </c>
      <c r="P132" s="461">
        <f t="shared" si="83"/>
        <v>0</v>
      </c>
      <c r="Q132" s="462">
        <f t="shared" si="84"/>
        <v>0</v>
      </c>
      <c r="R132" s="402">
        <f t="shared" si="93"/>
        <v>0</v>
      </c>
    </row>
    <row r="133" spans="1:18" x14ac:dyDescent="0.3">
      <c r="A133" s="752"/>
      <c r="B133" s="754"/>
      <c r="C133" s="450" t="s">
        <v>31</v>
      </c>
      <c r="D133" s="451">
        <f t="shared" si="85"/>
        <v>0</v>
      </c>
      <c r="E133" s="452">
        <f t="shared" si="86"/>
        <v>0</v>
      </c>
      <c r="F133" s="453">
        <f t="shared" si="87"/>
        <v>0</v>
      </c>
      <c r="G133" s="460">
        <f t="shared" si="88"/>
        <v>0</v>
      </c>
      <c r="H133" s="461">
        <f t="shared" si="89"/>
        <v>0</v>
      </c>
      <c r="I133" s="400">
        <f t="shared" si="90"/>
        <v>0</v>
      </c>
      <c r="J133" s="461">
        <f t="shared" si="79"/>
        <v>0</v>
      </c>
      <c r="K133" s="461">
        <f t="shared" si="80"/>
        <v>0</v>
      </c>
      <c r="L133" s="400">
        <f t="shared" si="91"/>
        <v>0</v>
      </c>
      <c r="M133" s="461">
        <f t="shared" si="81"/>
        <v>0</v>
      </c>
      <c r="N133" s="461">
        <f t="shared" si="82"/>
        <v>0</v>
      </c>
      <c r="O133" s="400">
        <f t="shared" si="92"/>
        <v>0</v>
      </c>
      <c r="P133" s="461">
        <f t="shared" si="83"/>
        <v>0</v>
      </c>
      <c r="Q133" s="462">
        <f t="shared" si="84"/>
        <v>0</v>
      </c>
      <c r="R133" s="402">
        <f t="shared" si="93"/>
        <v>0</v>
      </c>
    </row>
    <row r="134" spans="1:18" x14ac:dyDescent="0.3">
      <c r="A134" s="752"/>
      <c r="B134" s="754"/>
      <c r="C134" s="450" t="s">
        <v>32</v>
      </c>
      <c r="D134" s="451">
        <f t="shared" si="85"/>
        <v>0</v>
      </c>
      <c r="E134" s="452">
        <f t="shared" si="86"/>
        <v>0</v>
      </c>
      <c r="F134" s="453">
        <f t="shared" si="87"/>
        <v>0</v>
      </c>
      <c r="G134" s="460">
        <f t="shared" si="88"/>
        <v>0</v>
      </c>
      <c r="H134" s="461">
        <f t="shared" si="89"/>
        <v>0</v>
      </c>
      <c r="I134" s="400">
        <f t="shared" si="90"/>
        <v>0</v>
      </c>
      <c r="J134" s="461">
        <f t="shared" si="79"/>
        <v>0</v>
      </c>
      <c r="K134" s="461">
        <f t="shared" si="80"/>
        <v>0</v>
      </c>
      <c r="L134" s="400">
        <f t="shared" si="91"/>
        <v>0</v>
      </c>
      <c r="M134" s="461">
        <f t="shared" si="81"/>
        <v>0</v>
      </c>
      <c r="N134" s="461">
        <f t="shared" si="82"/>
        <v>0</v>
      </c>
      <c r="O134" s="400">
        <f t="shared" si="92"/>
        <v>0</v>
      </c>
      <c r="P134" s="461">
        <f t="shared" si="83"/>
        <v>0</v>
      </c>
      <c r="Q134" s="462">
        <f t="shared" si="84"/>
        <v>0</v>
      </c>
      <c r="R134" s="402">
        <f t="shared" si="93"/>
        <v>0</v>
      </c>
    </row>
    <row r="135" spans="1:18" x14ac:dyDescent="0.3">
      <c r="A135" s="752"/>
      <c r="B135" s="754"/>
      <c r="C135" s="450" t="s">
        <v>33</v>
      </c>
      <c r="D135" s="451">
        <f t="shared" si="85"/>
        <v>0</v>
      </c>
      <c r="E135" s="452">
        <f t="shared" si="86"/>
        <v>0</v>
      </c>
      <c r="F135" s="453">
        <f t="shared" si="87"/>
        <v>0</v>
      </c>
      <c r="G135" s="460">
        <f t="shared" si="88"/>
        <v>0</v>
      </c>
      <c r="H135" s="461">
        <f t="shared" si="89"/>
        <v>0</v>
      </c>
      <c r="I135" s="400">
        <f t="shared" si="90"/>
        <v>0</v>
      </c>
      <c r="J135" s="461">
        <f t="shared" si="79"/>
        <v>0</v>
      </c>
      <c r="K135" s="461">
        <f t="shared" si="80"/>
        <v>0</v>
      </c>
      <c r="L135" s="400">
        <f t="shared" si="91"/>
        <v>0</v>
      </c>
      <c r="M135" s="461">
        <f t="shared" si="81"/>
        <v>0</v>
      </c>
      <c r="N135" s="461">
        <f t="shared" si="82"/>
        <v>0</v>
      </c>
      <c r="O135" s="400">
        <f t="shared" si="92"/>
        <v>0</v>
      </c>
      <c r="P135" s="461">
        <f t="shared" si="83"/>
        <v>0</v>
      </c>
      <c r="Q135" s="462">
        <f t="shared" si="84"/>
        <v>0</v>
      </c>
      <c r="R135" s="402">
        <f t="shared" si="93"/>
        <v>0</v>
      </c>
    </row>
    <row r="136" spans="1:18" ht="15" thickBot="1" x14ac:dyDescent="0.35">
      <c r="A136" s="753"/>
      <c r="B136" s="755"/>
      <c r="C136" s="463" t="s">
        <v>34</v>
      </c>
      <c r="D136" s="464">
        <f t="shared" si="85"/>
        <v>0</v>
      </c>
      <c r="E136" s="465">
        <f t="shared" si="86"/>
        <v>0</v>
      </c>
      <c r="F136" s="466">
        <f t="shared" si="87"/>
        <v>0</v>
      </c>
      <c r="G136" s="467">
        <f t="shared" si="88"/>
        <v>0</v>
      </c>
      <c r="H136" s="468">
        <f t="shared" si="89"/>
        <v>0</v>
      </c>
      <c r="I136" s="409">
        <f t="shared" si="90"/>
        <v>0</v>
      </c>
      <c r="J136" s="468">
        <f t="shared" si="79"/>
        <v>0</v>
      </c>
      <c r="K136" s="468">
        <f t="shared" si="80"/>
        <v>0</v>
      </c>
      <c r="L136" s="409">
        <f t="shared" si="91"/>
        <v>0</v>
      </c>
      <c r="M136" s="468">
        <f t="shared" si="81"/>
        <v>0</v>
      </c>
      <c r="N136" s="468">
        <f t="shared" si="82"/>
        <v>0</v>
      </c>
      <c r="O136" s="409">
        <f t="shared" si="92"/>
        <v>0</v>
      </c>
      <c r="P136" s="468">
        <f t="shared" si="83"/>
        <v>0</v>
      </c>
      <c r="Q136" s="469">
        <f t="shared" si="84"/>
        <v>0</v>
      </c>
      <c r="R136" s="411">
        <f t="shared" si="93"/>
        <v>0</v>
      </c>
    </row>
  </sheetData>
  <sheetProtection insertColumns="0" deleteColumns="0"/>
  <mergeCells count="44">
    <mergeCell ref="M4:O4"/>
    <mergeCell ref="P4:R4"/>
    <mergeCell ref="M1:O1"/>
    <mergeCell ref="P1:R1"/>
    <mergeCell ref="S1:S5"/>
    <mergeCell ref="M2:O2"/>
    <mergeCell ref="P2:R2"/>
    <mergeCell ref="M3:O3"/>
    <mergeCell ref="P3:R3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G4:I4"/>
    <mergeCell ref="J4:L4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topLeftCell="A4" zoomScale="60" zoomScaleNormal="85" workbookViewId="0">
      <selection activeCell="E44" sqref="E44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104" t="s">
        <v>102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6" x14ac:dyDescent="0.3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6" x14ac:dyDescent="0.3">
      <c r="A3" s="218" t="s">
        <v>185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3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" thickBot="1" x14ac:dyDescent="0.35">
      <c r="A5" s="93"/>
      <c r="B5" s="94"/>
      <c r="C5" s="88"/>
      <c r="D5" s="760" t="s">
        <v>103</v>
      </c>
      <c r="E5" s="760"/>
      <c r="F5" s="760"/>
      <c r="G5" s="760"/>
      <c r="H5" s="760"/>
      <c r="I5" s="760"/>
      <c r="J5" s="760"/>
      <c r="K5" s="760"/>
      <c r="L5" s="760"/>
      <c r="M5" s="760"/>
    </row>
    <row r="6" spans="1:13" x14ac:dyDescent="0.3">
      <c r="A6" s="215"/>
      <c r="B6" s="212" t="s">
        <v>160</v>
      </c>
      <c r="C6" s="98" t="s">
        <v>107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3">
      <c r="A7" s="216"/>
      <c r="B7" s="213" t="s">
        <v>110</v>
      </c>
      <c r="C7" s="99">
        <f t="shared" ref="C7:C14" si="0">SUM(D7:M7)</f>
        <v>30204</v>
      </c>
      <c r="D7" s="115">
        <f>'TCO TO BE- SW'!$E5+'TCO TO BE- SW'!$E15</f>
        <v>30204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3">
      <c r="A8" s="216"/>
      <c r="B8" s="213" t="s">
        <v>111</v>
      </c>
      <c r="C8" s="99">
        <f t="shared" si="0"/>
        <v>60145.600000000013</v>
      </c>
      <c r="D8" s="115">
        <f>'TCO TO BE- SW'!$E58+'TCO TO BE- SW'!$E68</f>
        <v>16238</v>
      </c>
      <c r="E8" s="96">
        <f>'TCO TO BE- SW'!$E59+'TCO TO BE- SW'!$E69</f>
        <v>12044.4</v>
      </c>
      <c r="F8" s="96">
        <f>'TCO TO BE- SW'!$E60+'TCO TO BE- SW'!$E70</f>
        <v>7220.4</v>
      </c>
      <c r="G8" s="96">
        <f>'TCO TO BE- SW'!$E61+'TCO TO BE- SW'!$E71</f>
        <v>6520.4</v>
      </c>
      <c r="H8" s="96">
        <f>'TCO TO BE- SW'!$E62+'TCO TO BE- SW'!$E72</f>
        <v>3020.4</v>
      </c>
      <c r="I8" s="96">
        <f>'TCO TO BE- SW'!$E63+'TCO TO BE- SW'!$E73</f>
        <v>3020.4</v>
      </c>
      <c r="J8" s="96">
        <f>'TCO TO BE- SW'!$E64+'TCO TO BE- SW'!$E74</f>
        <v>3020.4</v>
      </c>
      <c r="K8" s="96">
        <f>'TCO TO BE- SW'!$E65+'TCO TO BE- SW'!$E75</f>
        <v>3020.4</v>
      </c>
      <c r="L8" s="96">
        <f>'TCO TO BE- SW'!$E66+'TCO TO BE- SW'!$E76</f>
        <v>3020.4</v>
      </c>
      <c r="M8" s="116">
        <f>'TCO TO BE- SW'!$E67+'TCO TO BE- SW'!$E77</f>
        <v>3020.4</v>
      </c>
    </row>
    <row r="9" spans="1:13" x14ac:dyDescent="0.3">
      <c r="A9" s="216"/>
      <c r="B9" s="213" t="s">
        <v>112</v>
      </c>
      <c r="C9" s="99">
        <f t="shared" si="0"/>
        <v>151965</v>
      </c>
      <c r="D9" s="115">
        <f>'TCO TO BE- SW'!$E26+'TCO TO BE- SW'!$E36+'TCO TO BE- SW'!$E46</f>
        <v>151965</v>
      </c>
      <c r="E9" s="96">
        <f>'TCO TO BE- SW'!$E27+'TCO TO BE- SW'!$E37+'TCO TO BE- SW'!$E47</f>
        <v>0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3">
      <c r="A10" s="216"/>
      <c r="B10" s="213" t="s">
        <v>113</v>
      </c>
      <c r="C10" s="99">
        <f t="shared" si="0"/>
        <v>136768.5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15196.5</v>
      </c>
      <c r="F10" s="96">
        <f>'TCO TO BE- SW'!$E81+'TCO TO BE- SW'!$E91+'TCO TO BE- SW'!$E101+'TCO TO BE- SW'!$E111+'TCO TO BE- SW'!$E121</f>
        <v>15196.5</v>
      </c>
      <c r="G10" s="96">
        <f>'TCO TO BE- SW'!$E82+'TCO TO BE- SW'!$E92+'TCO TO BE- SW'!$E102+'TCO TO BE- SW'!$E112+'TCO TO BE- SW'!$E122</f>
        <v>15196.5</v>
      </c>
      <c r="H10" s="96">
        <f>'TCO TO BE- SW'!$E83+'TCO TO BE- SW'!$E93+'TCO TO BE- SW'!$E103+'TCO TO BE- SW'!$E113+'TCO TO BE- SW'!$E123</f>
        <v>15196.5</v>
      </c>
      <c r="I10" s="96">
        <f>'TCO TO BE- SW'!$E84+'TCO TO BE- SW'!$E94+'TCO TO BE- SW'!$E104+'TCO TO BE- SW'!$E114+'TCO TO BE- SW'!$E124</f>
        <v>15196.5</v>
      </c>
      <c r="J10" s="96">
        <f>'TCO TO BE- SW'!$E85+'TCO TO BE- SW'!$E95+'TCO TO BE- SW'!$E105+'TCO TO BE- SW'!$E115+'TCO TO BE- SW'!$E125</f>
        <v>15196.5</v>
      </c>
      <c r="K10" s="96">
        <f>'TCO TO BE- SW'!$E86+'TCO TO BE- SW'!$E96+'TCO TO BE- SW'!$E106+'TCO TO BE- SW'!$E116+'TCO TO BE- SW'!$E126</f>
        <v>15196.5</v>
      </c>
      <c r="L10" s="96">
        <f>'TCO TO BE- SW'!$E87+'TCO TO BE- SW'!$E97+'TCO TO BE- SW'!$E107+'TCO TO BE- SW'!$E117+'TCO TO BE- SW'!$E127</f>
        <v>15196.5</v>
      </c>
      <c r="M10" s="116">
        <f>'TCO TO BE- SW'!$E88+'TCO TO BE- SW'!$E98+'TCO TO BE- SW'!$E108+'TCO TO BE- SW'!$E118+'TCO TO BE- SW'!$E128</f>
        <v>15196.5</v>
      </c>
    </row>
    <row r="11" spans="1:13" x14ac:dyDescent="0.3">
      <c r="A11" s="216"/>
      <c r="B11" s="213" t="s">
        <v>339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3">
      <c r="A12" s="216"/>
      <c r="B12" s="213" t="s">
        <v>104</v>
      </c>
      <c r="C12" s="99">
        <f t="shared" si="0"/>
        <v>379819.41199999995</v>
      </c>
      <c r="D12" s="115">
        <f>'TCO TO BE - HW'!$E4+'TCO TO BE - HW'!$E14+'TCO TO BE - HW'!$E24</f>
        <v>379819.41199999995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3">
      <c r="A13" s="216"/>
      <c r="B13" s="213" t="s">
        <v>105</v>
      </c>
      <c r="C13" s="99">
        <f t="shared" si="0"/>
        <v>167120.54127999998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20890.067659999997</v>
      </c>
      <c r="G13" s="96">
        <f>'TCO TO BE - HW'!$E38+'TCO TO BE - HW'!$E48+'TCO TO BE - HW'!$E58+'TCO TO BE - HW'!$E68+'TCO TO BE - HW'!$E78</f>
        <v>20890.067659999997</v>
      </c>
      <c r="H13" s="96">
        <f>'TCO TO BE - HW'!$E39+'TCO TO BE - HW'!$E49+'TCO TO BE - HW'!$E59+'TCO TO BE - HW'!$E69+'TCO TO BE - HW'!$E79</f>
        <v>20890.067659999997</v>
      </c>
      <c r="I13" s="96">
        <f>'TCO TO BE - HW'!$E40+'TCO TO BE - HW'!$E50+'TCO TO BE - HW'!$E60+'TCO TO BE - HW'!$E70+'TCO TO BE - HW'!$E80</f>
        <v>20890.067659999997</v>
      </c>
      <c r="J13" s="96">
        <f>'TCO TO BE - HW'!$E41+'TCO TO BE - HW'!$E51+'TCO TO BE - HW'!$E61+'TCO TO BE - HW'!$E71+'TCO TO BE - HW'!$E81</f>
        <v>20890.067659999997</v>
      </c>
      <c r="K13" s="96">
        <f>'TCO TO BE - HW'!$E42+'TCO TO BE - HW'!$E52+'TCO TO BE - HW'!$E62+'TCO TO BE - HW'!$E72+'TCO TO BE - HW'!$E82</f>
        <v>20890.067659999997</v>
      </c>
      <c r="L13" s="96">
        <f>'TCO TO BE - HW'!$E43+'TCO TO BE - HW'!$E53+'TCO TO BE - HW'!$E63+'TCO TO BE - HW'!$E73+'TCO TO BE - HW'!$E83</f>
        <v>20890.067659999997</v>
      </c>
      <c r="M13" s="116">
        <f>'TCO TO BE - HW'!$E44+'TCO TO BE - HW'!$E54+'TCO TO BE - HW'!$E64+'TCO TO BE - HW'!$E74+'TCO TO BE - HW'!$E84</f>
        <v>20890.067659999997</v>
      </c>
    </row>
    <row r="14" spans="1:13" ht="15" thickBot="1" x14ac:dyDescent="0.35">
      <c r="A14" s="216"/>
      <c r="B14" s="498" t="s">
        <v>312</v>
      </c>
      <c r="C14" s="499">
        <f t="shared" si="0"/>
        <v>36740</v>
      </c>
      <c r="D14" s="500">
        <f>'TCO TO BE- SW'!E130+'TCO TO BE- SW'!E140</f>
        <v>36740</v>
      </c>
      <c r="E14" s="501">
        <f>'TCO TO BE- SW'!E131+'TCO TO BE- SW'!E141</f>
        <v>0</v>
      </c>
      <c r="F14" s="501">
        <f>'TCO TO BE- SW'!E132+'TCO TO BE- SW'!E142</f>
        <v>0</v>
      </c>
      <c r="G14" s="501">
        <f>'TCO TO BE- SW'!E133+'TCO TO BE- SW'!E143</f>
        <v>0</v>
      </c>
      <c r="H14" s="501">
        <f>'TCO TO BE- SW'!E134+'TCO TO BE- SW'!E144</f>
        <v>0</v>
      </c>
      <c r="I14" s="501">
        <f>'TCO TO BE- SW'!E135+'TCO TO BE- SW'!E145</f>
        <v>0</v>
      </c>
      <c r="J14" s="501">
        <f>'TCO TO BE- SW'!E136+'TCO TO BE- SW'!E146</f>
        <v>0</v>
      </c>
      <c r="K14" s="501">
        <f>'TCO TO BE- SW'!E137+'TCO TO BE- SW'!E147</f>
        <v>0</v>
      </c>
      <c r="L14" s="501">
        <f>'TCO TO BE- SW'!E138+'TCO TO BE- SW'!E148</f>
        <v>0</v>
      </c>
      <c r="M14" s="502">
        <f>'TCO TO BE- SW'!E139+'TCO TO BE- SW'!E149</f>
        <v>0</v>
      </c>
    </row>
    <row r="15" spans="1:13" ht="15" thickBot="1" x14ac:dyDescent="0.35">
      <c r="A15" s="217"/>
      <c r="B15" s="214" t="s">
        <v>106</v>
      </c>
      <c r="C15" s="101">
        <f>SUM(C7:C14)</f>
        <v>962763.05327999988</v>
      </c>
      <c r="D15" s="97">
        <f>SUM(D7:D13)</f>
        <v>578226.41200000001</v>
      </c>
      <c r="E15" s="86">
        <f t="shared" ref="E15:M15" si="1">SUM(E7:E13)</f>
        <v>27240.9</v>
      </c>
      <c r="F15" s="86">
        <f t="shared" si="1"/>
        <v>43306.967659999995</v>
      </c>
      <c r="G15" s="86">
        <f t="shared" si="1"/>
        <v>42606.967659999995</v>
      </c>
      <c r="H15" s="86">
        <f t="shared" si="1"/>
        <v>39106.967659999995</v>
      </c>
      <c r="I15" s="86">
        <f t="shared" si="1"/>
        <v>39106.967659999995</v>
      </c>
      <c r="J15" s="86">
        <f t="shared" si="1"/>
        <v>39106.967659999995</v>
      </c>
      <c r="K15" s="86">
        <f t="shared" si="1"/>
        <v>39106.967659999995</v>
      </c>
      <c r="L15" s="103">
        <f t="shared" si="1"/>
        <v>39106.967659999995</v>
      </c>
      <c r="M15" s="102">
        <f t="shared" si="1"/>
        <v>39106.967659999995</v>
      </c>
    </row>
    <row r="16" spans="1:13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3">
      <c r="A18" s="761" t="s">
        <v>118</v>
      </c>
      <c r="B18" s="761"/>
      <c r="C18" s="761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" thickBot="1" x14ac:dyDescent="0.35">
      <c r="A20" s="93"/>
      <c r="B20" s="94"/>
      <c r="C20" s="88"/>
      <c r="D20" s="760" t="s">
        <v>103</v>
      </c>
      <c r="E20" s="760"/>
      <c r="F20" s="760"/>
      <c r="G20" s="760"/>
      <c r="H20" s="760"/>
      <c r="I20" s="760"/>
      <c r="J20" s="760"/>
      <c r="K20" s="760"/>
      <c r="L20" s="760"/>
      <c r="M20" s="760"/>
    </row>
    <row r="21" spans="1:13" ht="17.100000000000001" customHeight="1" x14ac:dyDescent="0.3">
      <c r="A21" s="215"/>
      <c r="B21" s="211" t="s">
        <v>220</v>
      </c>
      <c r="C21" s="98" t="s">
        <v>107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3">
      <c r="A22" s="216"/>
      <c r="B22" s="110" t="s">
        <v>110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3">
      <c r="A23" s="216"/>
      <c r="B23" s="110" t="s">
        <v>111</v>
      </c>
      <c r="C23" s="99">
        <f>SUM(D23:M23)</f>
        <v>32962</v>
      </c>
      <c r="D23" s="115">
        <f>'TCO AS IS - SW'!E5+'TCO AS IS - SW'!E15</f>
        <v>16238</v>
      </c>
      <c r="E23" s="96">
        <f>'TCO AS IS - SW'!E6+'TCO AS IS - SW'!E16</f>
        <v>9024</v>
      </c>
      <c r="F23" s="96">
        <f>'TCO AS IS - SW'!E7+'TCO AS IS - SW'!E17</f>
        <v>4200</v>
      </c>
      <c r="G23" s="96">
        <f>'TCO AS IS - SW'!E8+'TCO AS IS - SW'!E18</f>
        <v>3500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3">
      <c r="A24" s="216"/>
      <c r="B24" s="110" t="s">
        <v>112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3">
      <c r="A25" s="216"/>
      <c r="B25" s="110" t="s">
        <v>113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 x14ac:dyDescent="0.3">
      <c r="A26" s="216"/>
      <c r="B26" s="110" t="s">
        <v>104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" thickBot="1" x14ac:dyDescent="0.35">
      <c r="A27" s="216"/>
      <c r="B27" s="111" t="s">
        <v>105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" thickBot="1" x14ac:dyDescent="0.35">
      <c r="A28" s="217"/>
      <c r="B28" s="95" t="s">
        <v>106</v>
      </c>
      <c r="C28" s="101">
        <f t="shared" ref="C28:M28" si="2">SUM(C22:C27)</f>
        <v>32962</v>
      </c>
      <c r="D28" s="97">
        <f t="shared" si="2"/>
        <v>16238</v>
      </c>
      <c r="E28" s="86">
        <f t="shared" si="2"/>
        <v>9024</v>
      </c>
      <c r="F28" s="86">
        <f t="shared" si="2"/>
        <v>4200</v>
      </c>
      <c r="G28" s="86">
        <f t="shared" si="2"/>
        <v>3500</v>
      </c>
      <c r="H28" s="86">
        <f t="shared" si="2"/>
        <v>0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103">
        <f t="shared" si="2"/>
        <v>0</v>
      </c>
      <c r="M28" s="102">
        <f t="shared" si="2"/>
        <v>0</v>
      </c>
    </row>
    <row r="29" spans="1:13" x14ac:dyDescent="0.3">
      <c r="A29" s="208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</row>
    <row r="32" spans="1:13" ht="15.75" customHeight="1" x14ac:dyDescent="0.3">
      <c r="A32" s="761" t="s">
        <v>205</v>
      </c>
      <c r="B32" s="761"/>
      <c r="C32" s="761"/>
    </row>
    <row r="34" spans="1:13" ht="15" thickBot="1" x14ac:dyDescent="0.35"/>
    <row r="35" spans="1:13" x14ac:dyDescent="0.3">
      <c r="A35" s="215"/>
      <c r="B35" s="211" t="s">
        <v>149</v>
      </c>
      <c r="C35" s="158" t="s">
        <v>107</v>
      </c>
      <c r="D35" s="159" t="s">
        <v>25</v>
      </c>
      <c r="E35" s="160" t="s">
        <v>26</v>
      </c>
      <c r="F35" s="160" t="s">
        <v>27</v>
      </c>
      <c r="G35" s="160" t="s">
        <v>28</v>
      </c>
      <c r="H35" s="160" t="s">
        <v>29</v>
      </c>
      <c r="I35" s="160" t="s">
        <v>30</v>
      </c>
      <c r="J35" s="160" t="s">
        <v>31</v>
      </c>
      <c r="K35" s="160" t="s">
        <v>32</v>
      </c>
      <c r="L35" s="160" t="s">
        <v>33</v>
      </c>
      <c r="M35" s="161" t="s">
        <v>34</v>
      </c>
    </row>
    <row r="36" spans="1:13" x14ac:dyDescent="0.3">
      <c r="A36" s="216"/>
      <c r="B36" s="162" t="s">
        <v>110</v>
      </c>
      <c r="C36" s="163">
        <f>SUM(D36:M36)</f>
        <v>30204</v>
      </c>
      <c r="D36" s="164">
        <f t="shared" ref="D36:M36" si="3">D7-D22</f>
        <v>30204</v>
      </c>
      <c r="E36" s="165">
        <f t="shared" si="3"/>
        <v>0</v>
      </c>
      <c r="F36" s="165">
        <f t="shared" si="3"/>
        <v>0</v>
      </c>
      <c r="G36" s="165">
        <f t="shared" si="3"/>
        <v>0</v>
      </c>
      <c r="H36" s="165">
        <f t="shared" si="3"/>
        <v>0</v>
      </c>
      <c r="I36" s="165">
        <f t="shared" si="3"/>
        <v>0</v>
      </c>
      <c r="J36" s="165">
        <f t="shared" si="3"/>
        <v>0</v>
      </c>
      <c r="K36" s="165">
        <f t="shared" si="3"/>
        <v>0</v>
      </c>
      <c r="L36" s="165">
        <f t="shared" si="3"/>
        <v>0</v>
      </c>
      <c r="M36" s="175">
        <f t="shared" si="3"/>
        <v>0</v>
      </c>
    </row>
    <row r="37" spans="1:13" x14ac:dyDescent="0.3">
      <c r="A37" s="216"/>
      <c r="B37" s="167" t="s">
        <v>111</v>
      </c>
      <c r="C37" s="163">
        <f t="shared" ref="C37:C43" si="4">SUM(D37:M37)</f>
        <v>27183.600000000002</v>
      </c>
      <c r="D37" s="164">
        <f t="shared" ref="D37:M37" si="5">D8-D23</f>
        <v>0</v>
      </c>
      <c r="E37" s="165">
        <f t="shared" si="5"/>
        <v>3020.3999999999996</v>
      </c>
      <c r="F37" s="165">
        <f t="shared" si="5"/>
        <v>3020.3999999999996</v>
      </c>
      <c r="G37" s="165">
        <f t="shared" si="5"/>
        <v>3020.3999999999996</v>
      </c>
      <c r="H37" s="165">
        <f t="shared" si="5"/>
        <v>3020.4</v>
      </c>
      <c r="I37" s="165">
        <f t="shared" si="5"/>
        <v>3020.4</v>
      </c>
      <c r="J37" s="165">
        <f t="shared" si="5"/>
        <v>3020.4</v>
      </c>
      <c r="K37" s="165">
        <f t="shared" si="5"/>
        <v>3020.4</v>
      </c>
      <c r="L37" s="176">
        <f t="shared" si="5"/>
        <v>3020.4</v>
      </c>
      <c r="M37" s="166">
        <f t="shared" si="5"/>
        <v>3020.4</v>
      </c>
    </row>
    <row r="38" spans="1:13" x14ac:dyDescent="0.3">
      <c r="A38" s="216"/>
      <c r="B38" s="162" t="s">
        <v>112</v>
      </c>
      <c r="C38" s="163">
        <f t="shared" si="4"/>
        <v>151965</v>
      </c>
      <c r="D38" s="164">
        <f t="shared" ref="D38:M38" si="6">D9-D24</f>
        <v>151965</v>
      </c>
      <c r="E38" s="165">
        <f t="shared" si="6"/>
        <v>0</v>
      </c>
      <c r="F38" s="165">
        <f t="shared" si="6"/>
        <v>0</v>
      </c>
      <c r="G38" s="165">
        <f t="shared" si="6"/>
        <v>0</v>
      </c>
      <c r="H38" s="165">
        <f t="shared" si="6"/>
        <v>0</v>
      </c>
      <c r="I38" s="165">
        <f t="shared" si="6"/>
        <v>0</v>
      </c>
      <c r="J38" s="165">
        <f t="shared" si="6"/>
        <v>0</v>
      </c>
      <c r="K38" s="165">
        <f t="shared" si="6"/>
        <v>0</v>
      </c>
      <c r="L38" s="176">
        <f t="shared" si="6"/>
        <v>0</v>
      </c>
      <c r="M38" s="166">
        <f t="shared" si="6"/>
        <v>0</v>
      </c>
    </row>
    <row r="39" spans="1:13" x14ac:dyDescent="0.3">
      <c r="A39" s="216"/>
      <c r="B39" s="110" t="s">
        <v>113</v>
      </c>
      <c r="C39" s="163">
        <f t="shared" si="4"/>
        <v>136768.5</v>
      </c>
      <c r="D39" s="164">
        <f t="shared" ref="D39:M39" si="7">D10-D25</f>
        <v>0</v>
      </c>
      <c r="E39" s="165">
        <f t="shared" si="7"/>
        <v>15196.5</v>
      </c>
      <c r="F39" s="165">
        <f t="shared" si="7"/>
        <v>15196.5</v>
      </c>
      <c r="G39" s="165">
        <f t="shared" si="7"/>
        <v>15196.5</v>
      </c>
      <c r="H39" s="165">
        <f t="shared" si="7"/>
        <v>15196.5</v>
      </c>
      <c r="I39" s="165">
        <f t="shared" si="7"/>
        <v>15196.5</v>
      </c>
      <c r="J39" s="165">
        <f t="shared" si="7"/>
        <v>15196.5</v>
      </c>
      <c r="K39" s="165">
        <f t="shared" si="7"/>
        <v>15196.5</v>
      </c>
      <c r="L39" s="176">
        <f t="shared" si="7"/>
        <v>15196.5</v>
      </c>
      <c r="M39" s="166">
        <f t="shared" si="7"/>
        <v>15196.5</v>
      </c>
    </row>
    <row r="40" spans="1:13" x14ac:dyDescent="0.3">
      <c r="A40" s="216"/>
      <c r="B40" s="110" t="s">
        <v>339</v>
      </c>
      <c r="C40" s="163">
        <f t="shared" si="4"/>
        <v>0</v>
      </c>
      <c r="D40" s="164">
        <f t="shared" ref="D40:M40" si="8">D11</f>
        <v>0</v>
      </c>
      <c r="E40" s="165">
        <f t="shared" si="8"/>
        <v>0</v>
      </c>
      <c r="F40" s="165">
        <f t="shared" si="8"/>
        <v>0</v>
      </c>
      <c r="G40" s="165">
        <f t="shared" si="8"/>
        <v>0</v>
      </c>
      <c r="H40" s="165">
        <f t="shared" si="8"/>
        <v>0</v>
      </c>
      <c r="I40" s="165">
        <f t="shared" si="8"/>
        <v>0</v>
      </c>
      <c r="J40" s="165">
        <f t="shared" si="8"/>
        <v>0</v>
      </c>
      <c r="K40" s="165">
        <f t="shared" si="8"/>
        <v>0</v>
      </c>
      <c r="L40" s="176">
        <f t="shared" si="8"/>
        <v>0</v>
      </c>
      <c r="M40" s="166">
        <f t="shared" si="8"/>
        <v>0</v>
      </c>
    </row>
    <row r="41" spans="1:13" x14ac:dyDescent="0.3">
      <c r="A41" s="216"/>
      <c r="B41" s="110" t="s">
        <v>151</v>
      </c>
      <c r="C41" s="163">
        <f t="shared" si="4"/>
        <v>379819.41199999995</v>
      </c>
      <c r="D41" s="164">
        <f t="shared" ref="D41:M41" si="9">D12-D26</f>
        <v>379819.41199999995</v>
      </c>
      <c r="E41" s="165">
        <f t="shared" si="9"/>
        <v>0</v>
      </c>
      <c r="F41" s="165">
        <f t="shared" si="9"/>
        <v>0</v>
      </c>
      <c r="G41" s="165">
        <f t="shared" si="9"/>
        <v>0</v>
      </c>
      <c r="H41" s="165">
        <f t="shared" si="9"/>
        <v>0</v>
      </c>
      <c r="I41" s="165">
        <f t="shared" si="9"/>
        <v>0</v>
      </c>
      <c r="J41" s="165">
        <f t="shared" si="9"/>
        <v>0</v>
      </c>
      <c r="K41" s="165">
        <f t="shared" si="9"/>
        <v>0</v>
      </c>
      <c r="L41" s="176">
        <f t="shared" si="9"/>
        <v>0</v>
      </c>
      <c r="M41" s="166">
        <f t="shared" si="9"/>
        <v>0</v>
      </c>
    </row>
    <row r="42" spans="1:13" x14ac:dyDescent="0.3">
      <c r="A42" s="216"/>
      <c r="B42" s="168" t="s">
        <v>152</v>
      </c>
      <c r="C42" s="169">
        <f t="shared" si="4"/>
        <v>167120.54127999998</v>
      </c>
      <c r="D42" s="164">
        <f t="shared" ref="D42:M42" si="10">D13-D27</f>
        <v>0</v>
      </c>
      <c r="E42" s="165">
        <f t="shared" si="10"/>
        <v>0</v>
      </c>
      <c r="F42" s="165">
        <f t="shared" si="10"/>
        <v>20890.067659999997</v>
      </c>
      <c r="G42" s="165">
        <f t="shared" si="10"/>
        <v>20890.067659999997</v>
      </c>
      <c r="H42" s="165">
        <f t="shared" si="10"/>
        <v>20890.067659999997</v>
      </c>
      <c r="I42" s="165">
        <f t="shared" si="10"/>
        <v>20890.067659999997</v>
      </c>
      <c r="J42" s="165">
        <f t="shared" si="10"/>
        <v>20890.067659999997</v>
      </c>
      <c r="K42" s="165">
        <f t="shared" si="10"/>
        <v>20890.067659999997</v>
      </c>
      <c r="L42" s="176">
        <f t="shared" si="10"/>
        <v>20890.067659999997</v>
      </c>
      <c r="M42" s="166">
        <f t="shared" si="10"/>
        <v>20890.067659999997</v>
      </c>
    </row>
    <row r="43" spans="1:13" ht="15" thickBot="1" x14ac:dyDescent="0.35">
      <c r="A43" s="216"/>
      <c r="B43" s="110" t="s">
        <v>312</v>
      </c>
      <c r="C43" s="163">
        <f t="shared" si="4"/>
        <v>36740</v>
      </c>
      <c r="D43" s="164">
        <f t="shared" ref="D43:M43" si="11">D14</f>
        <v>36740</v>
      </c>
      <c r="E43" s="165">
        <f t="shared" si="11"/>
        <v>0</v>
      </c>
      <c r="F43" s="165">
        <f t="shared" si="11"/>
        <v>0</v>
      </c>
      <c r="G43" s="165">
        <f t="shared" si="11"/>
        <v>0</v>
      </c>
      <c r="H43" s="165">
        <f t="shared" si="11"/>
        <v>0</v>
      </c>
      <c r="I43" s="165">
        <f t="shared" si="11"/>
        <v>0</v>
      </c>
      <c r="J43" s="165">
        <f t="shared" si="11"/>
        <v>0</v>
      </c>
      <c r="K43" s="165">
        <f t="shared" si="11"/>
        <v>0</v>
      </c>
      <c r="L43" s="176">
        <f t="shared" si="11"/>
        <v>0</v>
      </c>
      <c r="M43" s="166">
        <f t="shared" si="11"/>
        <v>0</v>
      </c>
    </row>
    <row r="44" spans="1:13" ht="15" thickBot="1" x14ac:dyDescent="0.35">
      <c r="A44" s="217"/>
      <c r="B44" s="95" t="s">
        <v>106</v>
      </c>
      <c r="C44" s="170">
        <f>SUM(D44:M44)</f>
        <v>929801.05327999976</v>
      </c>
      <c r="D44" s="171">
        <f>SUM(D36:D43)</f>
        <v>598728.41200000001</v>
      </c>
      <c r="E44" s="172">
        <f t="shared" ref="E44:M44" si="12">SUM(E36:E42)</f>
        <v>18216.900000000001</v>
      </c>
      <c r="F44" s="172">
        <f t="shared" si="12"/>
        <v>39106.967659999995</v>
      </c>
      <c r="G44" s="172">
        <f t="shared" si="12"/>
        <v>39106.967659999995</v>
      </c>
      <c r="H44" s="172">
        <f t="shared" si="12"/>
        <v>39106.967659999995</v>
      </c>
      <c r="I44" s="172">
        <f t="shared" si="12"/>
        <v>39106.967659999995</v>
      </c>
      <c r="J44" s="172">
        <f t="shared" si="12"/>
        <v>39106.967659999995</v>
      </c>
      <c r="K44" s="172">
        <f t="shared" si="12"/>
        <v>39106.967659999995</v>
      </c>
      <c r="L44" s="173">
        <f t="shared" si="12"/>
        <v>39106.967659999995</v>
      </c>
      <c r="M44" s="174">
        <f t="shared" si="12"/>
        <v>39106.967659999995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F75"/>
  <sheetViews>
    <sheetView view="pageBreakPreview" zoomScale="80" zoomScaleNormal="85" zoomScaleSheetLayoutView="80" workbookViewId="0">
      <selection activeCell="E7" sqref="E7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26.44140625" customWidth="1"/>
  </cols>
  <sheetData>
    <row r="1" spans="1:6" ht="25.35" customHeight="1" thickBot="1" x14ac:dyDescent="0.45">
      <c r="A1" s="762" t="s">
        <v>101</v>
      </c>
      <c r="B1" s="762"/>
      <c r="C1" s="762"/>
      <c r="D1" s="763"/>
      <c r="E1" s="71" t="s">
        <v>35</v>
      </c>
    </row>
    <row r="2" spans="1:6" ht="15" collapsed="1" thickBot="1" x14ac:dyDescent="0.35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6" ht="15" thickBot="1" x14ac:dyDescent="0.35">
      <c r="A3" s="764" t="s">
        <v>81</v>
      </c>
      <c r="B3" s="765"/>
      <c r="C3" s="765"/>
      <c r="D3" s="82"/>
      <c r="E3" s="78">
        <f>E4+E25</f>
        <v>32962</v>
      </c>
    </row>
    <row r="4" spans="1:6" ht="15" outlineLevel="1" thickBot="1" x14ac:dyDescent="0.35">
      <c r="A4" s="17" t="s">
        <v>108</v>
      </c>
      <c r="B4" s="17"/>
      <c r="C4" s="17"/>
      <c r="D4" s="28"/>
      <c r="E4" s="138">
        <f>SUM(E5:E24)</f>
        <v>32962</v>
      </c>
    </row>
    <row r="5" spans="1:6" ht="28.8" outlineLevel="2" x14ac:dyDescent="0.3">
      <c r="A5" s="766" t="s">
        <v>82</v>
      </c>
      <c r="B5" s="767" t="s">
        <v>83</v>
      </c>
      <c r="C5" s="767">
        <v>635009</v>
      </c>
      <c r="D5" s="68" t="s">
        <v>25</v>
      </c>
      <c r="E5" s="65">
        <f>(804*12)+2390+(350*12)</f>
        <v>16238</v>
      </c>
      <c r="F5" s="670" t="s">
        <v>408</v>
      </c>
    </row>
    <row r="6" spans="1:6" outlineLevel="2" x14ac:dyDescent="0.3">
      <c r="A6" s="766"/>
      <c r="B6" s="767"/>
      <c r="C6" s="767"/>
      <c r="D6" s="69" t="s">
        <v>26</v>
      </c>
      <c r="E6" s="66">
        <f>(804*6)+(350*12)</f>
        <v>9024</v>
      </c>
    </row>
    <row r="7" spans="1:6" outlineLevel="2" x14ac:dyDescent="0.3">
      <c r="A7" s="766"/>
      <c r="B7" s="767"/>
      <c r="C7" s="767"/>
      <c r="D7" s="69" t="s">
        <v>27</v>
      </c>
      <c r="E7" s="66">
        <f>350*12</f>
        <v>4200</v>
      </c>
    </row>
    <row r="8" spans="1:6" outlineLevel="2" x14ac:dyDescent="0.3">
      <c r="A8" s="766"/>
      <c r="B8" s="767"/>
      <c r="C8" s="767"/>
      <c r="D8" s="69" t="s">
        <v>28</v>
      </c>
      <c r="E8" s="66">
        <f>350*10</f>
        <v>3500</v>
      </c>
    </row>
    <row r="9" spans="1:6" outlineLevel="2" x14ac:dyDescent="0.3">
      <c r="A9" s="766"/>
      <c r="B9" s="767"/>
      <c r="C9" s="767"/>
      <c r="D9" s="69" t="s">
        <v>29</v>
      </c>
      <c r="E9" s="66">
        <v>0</v>
      </c>
    </row>
    <row r="10" spans="1:6" outlineLevel="2" x14ac:dyDescent="0.3">
      <c r="A10" s="766"/>
      <c r="B10" s="767"/>
      <c r="C10" s="767"/>
      <c r="D10" s="69" t="s">
        <v>30</v>
      </c>
      <c r="E10" s="66">
        <v>0</v>
      </c>
    </row>
    <row r="11" spans="1:6" outlineLevel="2" x14ac:dyDescent="0.3">
      <c r="A11" s="766"/>
      <c r="B11" s="767"/>
      <c r="C11" s="767"/>
      <c r="D11" s="69" t="s">
        <v>31</v>
      </c>
      <c r="E11" s="66">
        <v>0</v>
      </c>
    </row>
    <row r="12" spans="1:6" outlineLevel="2" x14ac:dyDescent="0.3">
      <c r="A12" s="766"/>
      <c r="B12" s="767"/>
      <c r="C12" s="767"/>
      <c r="D12" s="69" t="s">
        <v>32</v>
      </c>
      <c r="E12" s="66">
        <v>0</v>
      </c>
    </row>
    <row r="13" spans="1:6" outlineLevel="2" x14ac:dyDescent="0.3">
      <c r="A13" s="766"/>
      <c r="B13" s="767"/>
      <c r="C13" s="767"/>
      <c r="D13" s="69" t="s">
        <v>33</v>
      </c>
      <c r="E13" s="66">
        <v>0</v>
      </c>
    </row>
    <row r="14" spans="1:6" ht="15" outlineLevel="2" thickBot="1" x14ac:dyDescent="0.35">
      <c r="A14" s="766"/>
      <c r="B14" s="767"/>
      <c r="C14" s="767"/>
      <c r="D14" s="70" t="s">
        <v>34</v>
      </c>
      <c r="E14" s="67">
        <v>0</v>
      </c>
    </row>
    <row r="15" spans="1:6" outlineLevel="2" x14ac:dyDescent="0.3">
      <c r="A15" s="766" t="s">
        <v>84</v>
      </c>
      <c r="B15" s="767" t="s">
        <v>75</v>
      </c>
      <c r="C15" s="767">
        <v>718006</v>
      </c>
      <c r="D15" s="68" t="s">
        <v>25</v>
      </c>
      <c r="E15" s="66">
        <v>0</v>
      </c>
    </row>
    <row r="16" spans="1:6" outlineLevel="2" x14ac:dyDescent="0.3">
      <c r="A16" s="766"/>
      <c r="B16" s="767"/>
      <c r="C16" s="767"/>
      <c r="D16" s="69" t="s">
        <v>26</v>
      </c>
      <c r="E16" s="66">
        <v>0</v>
      </c>
    </row>
    <row r="17" spans="1:5" outlineLevel="2" x14ac:dyDescent="0.3">
      <c r="A17" s="766"/>
      <c r="B17" s="767"/>
      <c r="C17" s="767"/>
      <c r="D17" s="69" t="s">
        <v>27</v>
      </c>
      <c r="E17" s="66">
        <v>0</v>
      </c>
    </row>
    <row r="18" spans="1:5" outlineLevel="2" x14ac:dyDescent="0.3">
      <c r="A18" s="766"/>
      <c r="B18" s="767"/>
      <c r="C18" s="767"/>
      <c r="D18" s="69" t="s">
        <v>28</v>
      </c>
      <c r="E18" s="66">
        <v>0</v>
      </c>
    </row>
    <row r="19" spans="1:5" outlineLevel="2" x14ac:dyDescent="0.3">
      <c r="A19" s="766"/>
      <c r="B19" s="767"/>
      <c r="C19" s="767"/>
      <c r="D19" s="69" t="s">
        <v>29</v>
      </c>
      <c r="E19" s="66">
        <v>0</v>
      </c>
    </row>
    <row r="20" spans="1:5" outlineLevel="2" x14ac:dyDescent="0.3">
      <c r="A20" s="766"/>
      <c r="B20" s="767"/>
      <c r="C20" s="767"/>
      <c r="D20" s="69" t="s">
        <v>30</v>
      </c>
      <c r="E20" s="66">
        <v>0</v>
      </c>
    </row>
    <row r="21" spans="1:5" outlineLevel="2" x14ac:dyDescent="0.3">
      <c r="A21" s="766"/>
      <c r="B21" s="767"/>
      <c r="C21" s="767"/>
      <c r="D21" s="69" t="s">
        <v>31</v>
      </c>
      <c r="E21" s="66">
        <v>0</v>
      </c>
    </row>
    <row r="22" spans="1:5" outlineLevel="2" x14ac:dyDescent="0.3">
      <c r="A22" s="766"/>
      <c r="B22" s="767"/>
      <c r="C22" s="767"/>
      <c r="D22" s="69" t="s">
        <v>32</v>
      </c>
      <c r="E22" s="66">
        <v>0</v>
      </c>
    </row>
    <row r="23" spans="1:5" outlineLevel="2" x14ac:dyDescent="0.3">
      <c r="A23" s="766"/>
      <c r="B23" s="767"/>
      <c r="C23" s="767"/>
      <c r="D23" s="69" t="s">
        <v>33</v>
      </c>
      <c r="E23" s="66">
        <v>0</v>
      </c>
    </row>
    <row r="24" spans="1:5" ht="15" outlineLevel="2" thickBot="1" x14ac:dyDescent="0.35">
      <c r="A24" s="766"/>
      <c r="B24" s="767"/>
      <c r="C24" s="767"/>
      <c r="D24" s="70" t="s">
        <v>34</v>
      </c>
      <c r="E24" s="67">
        <v>0</v>
      </c>
    </row>
    <row r="25" spans="1:5" ht="15" outlineLevel="1" thickBot="1" x14ac:dyDescent="0.35">
      <c r="A25" s="17" t="s">
        <v>109</v>
      </c>
      <c r="B25" s="17"/>
      <c r="C25" s="17"/>
      <c r="D25" s="28"/>
      <c r="E25" s="140">
        <f>SUM(E26:E75)</f>
        <v>0</v>
      </c>
    </row>
    <row r="26" spans="1:5" outlineLevel="2" x14ac:dyDescent="0.3">
      <c r="A26" s="766" t="s">
        <v>85</v>
      </c>
      <c r="B26" s="767" t="s">
        <v>83</v>
      </c>
      <c r="C26" s="767">
        <v>635009</v>
      </c>
      <c r="D26" s="68" t="s">
        <v>25</v>
      </c>
      <c r="E26" s="72">
        <v>0</v>
      </c>
    </row>
    <row r="27" spans="1:5" outlineLevel="2" x14ac:dyDescent="0.3">
      <c r="A27" s="766"/>
      <c r="B27" s="767"/>
      <c r="C27" s="767"/>
      <c r="D27" s="69" t="s">
        <v>26</v>
      </c>
      <c r="E27" s="73">
        <v>0</v>
      </c>
    </row>
    <row r="28" spans="1:5" outlineLevel="2" x14ac:dyDescent="0.3">
      <c r="A28" s="766"/>
      <c r="B28" s="767"/>
      <c r="C28" s="767"/>
      <c r="D28" s="69" t="s">
        <v>27</v>
      </c>
      <c r="E28" s="73">
        <v>0</v>
      </c>
    </row>
    <row r="29" spans="1:5" outlineLevel="2" x14ac:dyDescent="0.3">
      <c r="A29" s="766"/>
      <c r="B29" s="767"/>
      <c r="C29" s="767"/>
      <c r="D29" s="69" t="s">
        <v>28</v>
      </c>
      <c r="E29" s="73">
        <v>0</v>
      </c>
    </row>
    <row r="30" spans="1:5" outlineLevel="2" x14ac:dyDescent="0.3">
      <c r="A30" s="766"/>
      <c r="B30" s="767"/>
      <c r="C30" s="767"/>
      <c r="D30" s="69" t="s">
        <v>29</v>
      </c>
      <c r="E30" s="73">
        <v>0</v>
      </c>
    </row>
    <row r="31" spans="1:5" outlineLevel="2" x14ac:dyDescent="0.3">
      <c r="A31" s="766"/>
      <c r="B31" s="767"/>
      <c r="C31" s="767"/>
      <c r="D31" s="69" t="s">
        <v>30</v>
      </c>
      <c r="E31" s="73">
        <v>0</v>
      </c>
    </row>
    <row r="32" spans="1:5" outlineLevel="2" x14ac:dyDescent="0.3">
      <c r="A32" s="766"/>
      <c r="B32" s="767"/>
      <c r="C32" s="767"/>
      <c r="D32" s="69" t="s">
        <v>31</v>
      </c>
      <c r="E32" s="73">
        <v>0</v>
      </c>
    </row>
    <row r="33" spans="1:5" outlineLevel="2" x14ac:dyDescent="0.3">
      <c r="A33" s="766"/>
      <c r="B33" s="767"/>
      <c r="C33" s="767"/>
      <c r="D33" s="69" t="s">
        <v>32</v>
      </c>
      <c r="E33" s="73">
        <v>0</v>
      </c>
    </row>
    <row r="34" spans="1:5" outlineLevel="2" x14ac:dyDescent="0.3">
      <c r="A34" s="766"/>
      <c r="B34" s="767"/>
      <c r="C34" s="767"/>
      <c r="D34" s="69" t="s">
        <v>33</v>
      </c>
      <c r="E34" s="73">
        <v>0</v>
      </c>
    </row>
    <row r="35" spans="1:5" ht="15" outlineLevel="2" thickBot="1" x14ac:dyDescent="0.35">
      <c r="A35" s="766"/>
      <c r="B35" s="767"/>
      <c r="C35" s="767"/>
      <c r="D35" s="70" t="s">
        <v>34</v>
      </c>
      <c r="E35" s="74">
        <v>0</v>
      </c>
    </row>
    <row r="36" spans="1:5" outlineLevel="2" x14ac:dyDescent="0.3">
      <c r="A36" s="766" t="s">
        <v>86</v>
      </c>
      <c r="B36" s="767" t="s">
        <v>80</v>
      </c>
      <c r="C36" s="767">
        <v>637005</v>
      </c>
      <c r="D36" s="68" t="s">
        <v>25</v>
      </c>
      <c r="E36" s="73">
        <v>0</v>
      </c>
    </row>
    <row r="37" spans="1:5" outlineLevel="2" x14ac:dyDescent="0.3">
      <c r="A37" s="766"/>
      <c r="B37" s="767"/>
      <c r="C37" s="767"/>
      <c r="D37" s="69" t="s">
        <v>26</v>
      </c>
      <c r="E37" s="73">
        <v>0</v>
      </c>
    </row>
    <row r="38" spans="1:5" outlineLevel="2" x14ac:dyDescent="0.3">
      <c r="A38" s="766"/>
      <c r="B38" s="767"/>
      <c r="C38" s="767"/>
      <c r="D38" s="69" t="s">
        <v>27</v>
      </c>
      <c r="E38" s="73">
        <v>0</v>
      </c>
    </row>
    <row r="39" spans="1:5" outlineLevel="2" x14ac:dyDescent="0.3">
      <c r="A39" s="766"/>
      <c r="B39" s="767"/>
      <c r="C39" s="767"/>
      <c r="D39" s="69" t="s">
        <v>28</v>
      </c>
      <c r="E39" s="73">
        <v>0</v>
      </c>
    </row>
    <row r="40" spans="1:5" outlineLevel="2" x14ac:dyDescent="0.3">
      <c r="A40" s="766"/>
      <c r="B40" s="767"/>
      <c r="C40" s="767"/>
      <c r="D40" s="69" t="s">
        <v>29</v>
      </c>
      <c r="E40" s="73">
        <v>0</v>
      </c>
    </row>
    <row r="41" spans="1:5" outlineLevel="2" x14ac:dyDescent="0.3">
      <c r="A41" s="766"/>
      <c r="B41" s="767"/>
      <c r="C41" s="767"/>
      <c r="D41" s="69" t="s">
        <v>30</v>
      </c>
      <c r="E41" s="73">
        <v>0</v>
      </c>
    </row>
    <row r="42" spans="1:5" outlineLevel="2" x14ac:dyDescent="0.3">
      <c r="A42" s="766"/>
      <c r="B42" s="767"/>
      <c r="C42" s="767"/>
      <c r="D42" s="69" t="s">
        <v>31</v>
      </c>
      <c r="E42" s="73">
        <v>0</v>
      </c>
    </row>
    <row r="43" spans="1:5" outlineLevel="2" x14ac:dyDescent="0.3">
      <c r="A43" s="766"/>
      <c r="B43" s="767"/>
      <c r="C43" s="767"/>
      <c r="D43" s="69" t="s">
        <v>32</v>
      </c>
      <c r="E43" s="73">
        <v>0</v>
      </c>
    </row>
    <row r="44" spans="1:5" outlineLevel="2" x14ac:dyDescent="0.3">
      <c r="A44" s="766"/>
      <c r="B44" s="767"/>
      <c r="C44" s="767"/>
      <c r="D44" s="69" t="s">
        <v>33</v>
      </c>
      <c r="E44" s="73">
        <v>0</v>
      </c>
    </row>
    <row r="45" spans="1:5" ht="15" outlineLevel="2" thickBot="1" x14ac:dyDescent="0.35">
      <c r="A45" s="766"/>
      <c r="B45" s="767"/>
      <c r="C45" s="767"/>
      <c r="D45" s="70" t="s">
        <v>34</v>
      </c>
      <c r="E45" s="74">
        <v>0</v>
      </c>
    </row>
    <row r="46" spans="1:5" outlineLevel="2" x14ac:dyDescent="0.3">
      <c r="A46" s="766" t="s">
        <v>87</v>
      </c>
      <c r="B46" s="767" t="s">
        <v>75</v>
      </c>
      <c r="C46" s="767">
        <v>718006</v>
      </c>
      <c r="D46" s="68" t="s">
        <v>25</v>
      </c>
      <c r="E46" s="73">
        <v>0</v>
      </c>
    </row>
    <row r="47" spans="1:5" outlineLevel="2" x14ac:dyDescent="0.3">
      <c r="A47" s="766"/>
      <c r="B47" s="767"/>
      <c r="C47" s="767"/>
      <c r="D47" s="69" t="s">
        <v>26</v>
      </c>
      <c r="E47" s="73">
        <v>0</v>
      </c>
    </row>
    <row r="48" spans="1:5" outlineLevel="2" x14ac:dyDescent="0.3">
      <c r="A48" s="766"/>
      <c r="B48" s="767"/>
      <c r="C48" s="767"/>
      <c r="D48" s="69" t="s">
        <v>27</v>
      </c>
      <c r="E48" s="73">
        <v>0</v>
      </c>
    </row>
    <row r="49" spans="1:5" outlineLevel="2" x14ac:dyDescent="0.3">
      <c r="A49" s="766"/>
      <c r="B49" s="767"/>
      <c r="C49" s="767"/>
      <c r="D49" s="69" t="s">
        <v>28</v>
      </c>
      <c r="E49" s="73">
        <v>0</v>
      </c>
    </row>
    <row r="50" spans="1:5" outlineLevel="2" x14ac:dyDescent="0.3">
      <c r="A50" s="766"/>
      <c r="B50" s="767"/>
      <c r="C50" s="767"/>
      <c r="D50" s="69" t="s">
        <v>29</v>
      </c>
      <c r="E50" s="73">
        <v>0</v>
      </c>
    </row>
    <row r="51" spans="1:5" outlineLevel="2" x14ac:dyDescent="0.3">
      <c r="A51" s="766"/>
      <c r="B51" s="767"/>
      <c r="C51" s="767"/>
      <c r="D51" s="69" t="s">
        <v>30</v>
      </c>
      <c r="E51" s="73">
        <v>0</v>
      </c>
    </row>
    <row r="52" spans="1:5" outlineLevel="2" x14ac:dyDescent="0.3">
      <c r="A52" s="766"/>
      <c r="B52" s="767"/>
      <c r="C52" s="767"/>
      <c r="D52" s="69" t="s">
        <v>31</v>
      </c>
      <c r="E52" s="73">
        <v>0</v>
      </c>
    </row>
    <row r="53" spans="1:5" outlineLevel="2" x14ac:dyDescent="0.3">
      <c r="A53" s="766"/>
      <c r="B53" s="767"/>
      <c r="C53" s="767"/>
      <c r="D53" s="69" t="s">
        <v>32</v>
      </c>
      <c r="E53" s="73">
        <v>0</v>
      </c>
    </row>
    <row r="54" spans="1:5" outlineLevel="2" x14ac:dyDescent="0.3">
      <c r="A54" s="766"/>
      <c r="B54" s="767"/>
      <c r="C54" s="767"/>
      <c r="D54" s="69" t="s">
        <v>33</v>
      </c>
      <c r="E54" s="73">
        <v>0</v>
      </c>
    </row>
    <row r="55" spans="1:5" ht="15" outlineLevel="2" thickBot="1" x14ac:dyDescent="0.35">
      <c r="A55" s="766"/>
      <c r="B55" s="767"/>
      <c r="C55" s="767"/>
      <c r="D55" s="70" t="s">
        <v>34</v>
      </c>
      <c r="E55" s="74">
        <v>0</v>
      </c>
    </row>
    <row r="56" spans="1:5" outlineLevel="2" x14ac:dyDescent="0.3">
      <c r="A56" s="766" t="s">
        <v>88</v>
      </c>
      <c r="B56" s="767" t="s">
        <v>89</v>
      </c>
      <c r="C56" s="767"/>
      <c r="D56" s="68" t="s">
        <v>25</v>
      </c>
      <c r="E56" s="73">
        <v>0</v>
      </c>
    </row>
    <row r="57" spans="1:5" outlineLevel="2" x14ac:dyDescent="0.3">
      <c r="A57" s="766"/>
      <c r="B57" s="767"/>
      <c r="C57" s="767"/>
      <c r="D57" s="69" t="s">
        <v>26</v>
      </c>
      <c r="E57" s="73">
        <v>0</v>
      </c>
    </row>
    <row r="58" spans="1:5" outlineLevel="2" x14ac:dyDescent="0.3">
      <c r="A58" s="766"/>
      <c r="B58" s="767"/>
      <c r="C58" s="767"/>
      <c r="D58" s="69" t="s">
        <v>27</v>
      </c>
      <c r="E58" s="73">
        <v>0</v>
      </c>
    </row>
    <row r="59" spans="1:5" outlineLevel="2" x14ac:dyDescent="0.3">
      <c r="A59" s="766"/>
      <c r="B59" s="767"/>
      <c r="C59" s="767"/>
      <c r="D59" s="69" t="s">
        <v>28</v>
      </c>
      <c r="E59" s="73">
        <v>0</v>
      </c>
    </row>
    <row r="60" spans="1:5" outlineLevel="2" x14ac:dyDescent="0.3">
      <c r="A60" s="766"/>
      <c r="B60" s="767"/>
      <c r="C60" s="767"/>
      <c r="D60" s="69" t="s">
        <v>29</v>
      </c>
      <c r="E60" s="73">
        <v>0</v>
      </c>
    </row>
    <row r="61" spans="1:5" outlineLevel="2" x14ac:dyDescent="0.3">
      <c r="A61" s="766"/>
      <c r="B61" s="767"/>
      <c r="C61" s="767"/>
      <c r="D61" s="69" t="s">
        <v>30</v>
      </c>
      <c r="E61" s="73">
        <v>0</v>
      </c>
    </row>
    <row r="62" spans="1:5" outlineLevel="2" x14ac:dyDescent="0.3">
      <c r="A62" s="766"/>
      <c r="B62" s="767"/>
      <c r="C62" s="767"/>
      <c r="D62" s="69" t="s">
        <v>31</v>
      </c>
      <c r="E62" s="73">
        <v>0</v>
      </c>
    </row>
    <row r="63" spans="1:5" outlineLevel="2" x14ac:dyDescent="0.3">
      <c r="A63" s="766"/>
      <c r="B63" s="767"/>
      <c r="C63" s="767"/>
      <c r="D63" s="69" t="s">
        <v>32</v>
      </c>
      <c r="E63" s="73">
        <v>0</v>
      </c>
    </row>
    <row r="64" spans="1:5" outlineLevel="2" x14ac:dyDescent="0.3">
      <c r="A64" s="766"/>
      <c r="B64" s="767"/>
      <c r="C64" s="767"/>
      <c r="D64" s="69" t="s">
        <v>33</v>
      </c>
      <c r="E64" s="73">
        <v>0</v>
      </c>
    </row>
    <row r="65" spans="1:5" ht="15" outlineLevel="2" thickBot="1" x14ac:dyDescent="0.35">
      <c r="A65" s="766"/>
      <c r="B65" s="767"/>
      <c r="C65" s="767"/>
      <c r="D65" s="70" t="s">
        <v>34</v>
      </c>
      <c r="E65" s="74">
        <v>0</v>
      </c>
    </row>
    <row r="66" spans="1:5" outlineLevel="2" x14ac:dyDescent="0.3">
      <c r="A66" s="766" t="s">
        <v>79</v>
      </c>
      <c r="B66" s="767" t="s">
        <v>80</v>
      </c>
      <c r="C66" s="767">
        <v>637001</v>
      </c>
      <c r="D66" s="68" t="s">
        <v>25</v>
      </c>
      <c r="E66" s="73">
        <v>0</v>
      </c>
    </row>
    <row r="67" spans="1:5" outlineLevel="2" x14ac:dyDescent="0.3">
      <c r="A67" s="766"/>
      <c r="B67" s="767"/>
      <c r="C67" s="767"/>
      <c r="D67" s="69" t="s">
        <v>26</v>
      </c>
      <c r="E67" s="73">
        <v>0</v>
      </c>
    </row>
    <row r="68" spans="1:5" outlineLevel="2" x14ac:dyDescent="0.3">
      <c r="A68" s="766"/>
      <c r="B68" s="767"/>
      <c r="C68" s="767"/>
      <c r="D68" s="69" t="s">
        <v>27</v>
      </c>
      <c r="E68" s="73">
        <v>0</v>
      </c>
    </row>
    <row r="69" spans="1:5" outlineLevel="2" x14ac:dyDescent="0.3">
      <c r="A69" s="766"/>
      <c r="B69" s="767"/>
      <c r="C69" s="767"/>
      <c r="D69" s="69" t="s">
        <v>28</v>
      </c>
      <c r="E69" s="73">
        <v>0</v>
      </c>
    </row>
    <row r="70" spans="1:5" outlineLevel="2" x14ac:dyDescent="0.3">
      <c r="A70" s="766"/>
      <c r="B70" s="767"/>
      <c r="C70" s="767"/>
      <c r="D70" s="69" t="s">
        <v>29</v>
      </c>
      <c r="E70" s="73">
        <v>0</v>
      </c>
    </row>
    <row r="71" spans="1:5" outlineLevel="2" x14ac:dyDescent="0.3">
      <c r="A71" s="766"/>
      <c r="B71" s="767"/>
      <c r="C71" s="767"/>
      <c r="D71" s="69" t="s">
        <v>30</v>
      </c>
      <c r="E71" s="73">
        <v>0</v>
      </c>
    </row>
    <row r="72" spans="1:5" outlineLevel="2" x14ac:dyDescent="0.3">
      <c r="A72" s="766"/>
      <c r="B72" s="767"/>
      <c r="C72" s="767"/>
      <c r="D72" s="69" t="s">
        <v>31</v>
      </c>
      <c r="E72" s="73">
        <v>0</v>
      </c>
    </row>
    <row r="73" spans="1:5" outlineLevel="2" x14ac:dyDescent="0.3">
      <c r="A73" s="766"/>
      <c r="B73" s="767"/>
      <c r="C73" s="767"/>
      <c r="D73" s="69" t="s">
        <v>32</v>
      </c>
      <c r="E73" s="73">
        <v>0</v>
      </c>
    </row>
    <row r="74" spans="1:5" outlineLevel="2" x14ac:dyDescent="0.3">
      <c r="A74" s="766"/>
      <c r="B74" s="767"/>
      <c r="C74" s="767"/>
      <c r="D74" s="69" t="s">
        <v>33</v>
      </c>
      <c r="E74" s="73">
        <v>0</v>
      </c>
    </row>
    <row r="75" spans="1:5" ht="15" outlineLevel="2" thickBot="1" x14ac:dyDescent="0.35">
      <c r="A75" s="766"/>
      <c r="B75" s="767"/>
      <c r="C75" s="767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topLeftCell="A16" zoomScale="60" zoomScaleNormal="85" workbookViewId="0">
      <selection activeCell="F13" sqref="F13"/>
    </sheetView>
  </sheetViews>
  <sheetFormatPr defaultColWidth="8.88671875" defaultRowHeight="14.4" outlineLevelRow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762" t="s">
        <v>100</v>
      </c>
      <c r="B1" s="762"/>
      <c r="C1" s="762"/>
      <c r="D1" s="763"/>
      <c r="E1" s="71" t="s">
        <v>35</v>
      </c>
    </row>
    <row r="2" spans="1:5" ht="15" thickBot="1" x14ac:dyDescent="0.35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5" thickBot="1" x14ac:dyDescent="0.35">
      <c r="A3" s="768" t="s">
        <v>91</v>
      </c>
      <c r="B3" s="768"/>
      <c r="C3" s="768"/>
      <c r="D3" s="77"/>
      <c r="E3" s="78">
        <f>SUM(E4:E53)</f>
        <v>0</v>
      </c>
    </row>
    <row r="4" spans="1:5" outlineLevel="1" x14ac:dyDescent="0.3">
      <c r="A4" s="766" t="s">
        <v>96</v>
      </c>
      <c r="B4" s="767" t="s">
        <v>83</v>
      </c>
      <c r="C4" s="767">
        <v>635002</v>
      </c>
      <c r="D4" s="68" t="s">
        <v>25</v>
      </c>
      <c r="E4" s="72">
        <v>0</v>
      </c>
    </row>
    <row r="5" spans="1:5" outlineLevel="1" x14ac:dyDescent="0.3">
      <c r="A5" s="766"/>
      <c r="B5" s="767"/>
      <c r="C5" s="767"/>
      <c r="D5" s="69" t="s">
        <v>26</v>
      </c>
      <c r="E5" s="73">
        <v>0</v>
      </c>
    </row>
    <row r="6" spans="1:5" outlineLevel="1" x14ac:dyDescent="0.3">
      <c r="A6" s="766"/>
      <c r="B6" s="767"/>
      <c r="C6" s="767"/>
      <c r="D6" s="69" t="s">
        <v>27</v>
      </c>
      <c r="E6" s="73">
        <v>0</v>
      </c>
    </row>
    <row r="7" spans="1:5" outlineLevel="1" x14ac:dyDescent="0.3">
      <c r="A7" s="766"/>
      <c r="B7" s="767"/>
      <c r="C7" s="767"/>
      <c r="D7" s="69" t="s">
        <v>28</v>
      </c>
      <c r="E7" s="73">
        <v>0</v>
      </c>
    </row>
    <row r="8" spans="1:5" outlineLevel="1" x14ac:dyDescent="0.3">
      <c r="A8" s="766"/>
      <c r="B8" s="767"/>
      <c r="C8" s="767"/>
      <c r="D8" s="69" t="s">
        <v>29</v>
      </c>
      <c r="E8" s="73">
        <v>0</v>
      </c>
    </row>
    <row r="9" spans="1:5" outlineLevel="1" x14ac:dyDescent="0.3">
      <c r="A9" s="766"/>
      <c r="B9" s="767"/>
      <c r="C9" s="767"/>
      <c r="D9" s="69" t="s">
        <v>30</v>
      </c>
      <c r="E9" s="73">
        <v>0</v>
      </c>
    </row>
    <row r="10" spans="1:5" outlineLevel="1" x14ac:dyDescent="0.3">
      <c r="A10" s="766"/>
      <c r="B10" s="767"/>
      <c r="C10" s="767"/>
      <c r="D10" s="69" t="s">
        <v>31</v>
      </c>
      <c r="E10" s="73">
        <v>0</v>
      </c>
    </row>
    <row r="11" spans="1:5" outlineLevel="1" x14ac:dyDescent="0.3">
      <c r="A11" s="766"/>
      <c r="B11" s="767"/>
      <c r="C11" s="767"/>
      <c r="D11" s="69" t="s">
        <v>32</v>
      </c>
      <c r="E11" s="73">
        <v>0</v>
      </c>
    </row>
    <row r="12" spans="1:5" outlineLevel="1" x14ac:dyDescent="0.3">
      <c r="A12" s="766"/>
      <c r="B12" s="767"/>
      <c r="C12" s="767"/>
      <c r="D12" s="69" t="s">
        <v>33</v>
      </c>
      <c r="E12" s="73">
        <v>0</v>
      </c>
    </row>
    <row r="13" spans="1:5" ht="15" outlineLevel="1" thickBot="1" x14ac:dyDescent="0.35">
      <c r="A13" s="766"/>
      <c r="B13" s="767"/>
      <c r="C13" s="767"/>
      <c r="D13" s="70" t="s">
        <v>34</v>
      </c>
      <c r="E13" s="74">
        <v>0</v>
      </c>
    </row>
    <row r="14" spans="1:5" outlineLevel="1" x14ac:dyDescent="0.3">
      <c r="A14" s="766" t="s">
        <v>97</v>
      </c>
      <c r="B14" s="766" t="s">
        <v>95</v>
      </c>
      <c r="C14" s="767">
        <v>718002</v>
      </c>
      <c r="D14" s="68" t="s">
        <v>25</v>
      </c>
      <c r="E14" s="73">
        <v>0</v>
      </c>
    </row>
    <row r="15" spans="1:5" outlineLevel="1" x14ac:dyDescent="0.3">
      <c r="A15" s="766"/>
      <c r="B15" s="767"/>
      <c r="C15" s="767"/>
      <c r="D15" s="69" t="s">
        <v>26</v>
      </c>
      <c r="E15" s="73">
        <v>0</v>
      </c>
    </row>
    <row r="16" spans="1:5" outlineLevel="1" x14ac:dyDescent="0.3">
      <c r="A16" s="766"/>
      <c r="B16" s="767"/>
      <c r="C16" s="767"/>
      <c r="D16" s="69" t="s">
        <v>27</v>
      </c>
      <c r="E16" s="73">
        <v>0</v>
      </c>
    </row>
    <row r="17" spans="1:5" outlineLevel="1" x14ac:dyDescent="0.3">
      <c r="A17" s="766"/>
      <c r="B17" s="767"/>
      <c r="C17" s="767"/>
      <c r="D17" s="69" t="s">
        <v>28</v>
      </c>
      <c r="E17" s="73">
        <v>0</v>
      </c>
    </row>
    <row r="18" spans="1:5" outlineLevel="1" x14ac:dyDescent="0.3">
      <c r="A18" s="766"/>
      <c r="B18" s="767"/>
      <c r="C18" s="767"/>
      <c r="D18" s="69" t="s">
        <v>29</v>
      </c>
      <c r="E18" s="73">
        <v>0</v>
      </c>
    </row>
    <row r="19" spans="1:5" outlineLevel="1" x14ac:dyDescent="0.3">
      <c r="A19" s="766"/>
      <c r="B19" s="767"/>
      <c r="C19" s="767"/>
      <c r="D19" s="69" t="s">
        <v>30</v>
      </c>
      <c r="E19" s="73">
        <v>0</v>
      </c>
    </row>
    <row r="20" spans="1:5" outlineLevel="1" x14ac:dyDescent="0.3">
      <c r="A20" s="766"/>
      <c r="B20" s="767"/>
      <c r="C20" s="767"/>
      <c r="D20" s="69" t="s">
        <v>31</v>
      </c>
      <c r="E20" s="73">
        <v>0</v>
      </c>
    </row>
    <row r="21" spans="1:5" outlineLevel="1" x14ac:dyDescent="0.3">
      <c r="A21" s="766"/>
      <c r="B21" s="767"/>
      <c r="C21" s="767"/>
      <c r="D21" s="69" t="s">
        <v>32</v>
      </c>
      <c r="E21" s="73">
        <v>0</v>
      </c>
    </row>
    <row r="22" spans="1:5" outlineLevel="1" x14ac:dyDescent="0.3">
      <c r="A22" s="766"/>
      <c r="B22" s="767"/>
      <c r="C22" s="767"/>
      <c r="D22" s="69" t="s">
        <v>33</v>
      </c>
      <c r="E22" s="73">
        <v>0</v>
      </c>
    </row>
    <row r="23" spans="1:5" ht="15" outlineLevel="1" thickBot="1" x14ac:dyDescent="0.35">
      <c r="A23" s="766"/>
      <c r="B23" s="767"/>
      <c r="C23" s="767"/>
      <c r="D23" s="70" t="s">
        <v>34</v>
      </c>
      <c r="E23" s="74">
        <v>0</v>
      </c>
    </row>
    <row r="24" spans="1:5" outlineLevel="1" x14ac:dyDescent="0.3">
      <c r="A24" s="766" t="s">
        <v>98</v>
      </c>
      <c r="B24" s="767"/>
      <c r="C24" s="767"/>
      <c r="D24" s="68" t="s">
        <v>25</v>
      </c>
      <c r="E24" s="73">
        <v>0</v>
      </c>
    </row>
    <row r="25" spans="1:5" outlineLevel="1" x14ac:dyDescent="0.3">
      <c r="A25" s="766"/>
      <c r="B25" s="767"/>
      <c r="C25" s="767"/>
      <c r="D25" s="69" t="s">
        <v>26</v>
      </c>
      <c r="E25" s="73">
        <v>0</v>
      </c>
    </row>
    <row r="26" spans="1:5" outlineLevel="1" x14ac:dyDescent="0.3">
      <c r="A26" s="766"/>
      <c r="B26" s="767"/>
      <c r="C26" s="767"/>
      <c r="D26" s="69" t="s">
        <v>27</v>
      </c>
      <c r="E26" s="73">
        <v>0</v>
      </c>
    </row>
    <row r="27" spans="1:5" outlineLevel="1" x14ac:dyDescent="0.3">
      <c r="A27" s="766"/>
      <c r="B27" s="767"/>
      <c r="C27" s="767"/>
      <c r="D27" s="69" t="s">
        <v>28</v>
      </c>
      <c r="E27" s="73">
        <v>0</v>
      </c>
    </row>
    <row r="28" spans="1:5" outlineLevel="1" x14ac:dyDescent="0.3">
      <c r="A28" s="766"/>
      <c r="B28" s="767"/>
      <c r="C28" s="767"/>
      <c r="D28" s="69" t="s">
        <v>29</v>
      </c>
      <c r="E28" s="73">
        <v>0</v>
      </c>
    </row>
    <row r="29" spans="1:5" outlineLevel="1" x14ac:dyDescent="0.3">
      <c r="A29" s="766"/>
      <c r="B29" s="767"/>
      <c r="C29" s="767"/>
      <c r="D29" s="69" t="s">
        <v>30</v>
      </c>
      <c r="E29" s="73">
        <v>0</v>
      </c>
    </row>
    <row r="30" spans="1:5" outlineLevel="1" x14ac:dyDescent="0.3">
      <c r="A30" s="766"/>
      <c r="B30" s="767"/>
      <c r="C30" s="767"/>
      <c r="D30" s="69" t="s">
        <v>31</v>
      </c>
      <c r="E30" s="73">
        <v>0</v>
      </c>
    </row>
    <row r="31" spans="1:5" outlineLevel="1" x14ac:dyDescent="0.3">
      <c r="A31" s="766"/>
      <c r="B31" s="767"/>
      <c r="C31" s="767"/>
      <c r="D31" s="69" t="s">
        <v>32</v>
      </c>
      <c r="E31" s="73">
        <v>0</v>
      </c>
    </row>
    <row r="32" spans="1:5" outlineLevel="1" x14ac:dyDescent="0.3">
      <c r="A32" s="766"/>
      <c r="B32" s="767"/>
      <c r="C32" s="767"/>
      <c r="D32" s="69" t="s">
        <v>33</v>
      </c>
      <c r="E32" s="73">
        <v>0</v>
      </c>
    </row>
    <row r="33" spans="1:5" ht="15" outlineLevel="1" thickBot="1" x14ac:dyDescent="0.35">
      <c r="A33" s="766"/>
      <c r="B33" s="767"/>
      <c r="C33" s="767"/>
      <c r="D33" s="70" t="s">
        <v>34</v>
      </c>
      <c r="E33" s="74">
        <v>0</v>
      </c>
    </row>
    <row r="34" spans="1:5" outlineLevel="1" x14ac:dyDescent="0.3">
      <c r="A34" s="766" t="s">
        <v>99</v>
      </c>
      <c r="B34" s="767"/>
      <c r="C34" s="767"/>
      <c r="D34" s="68" t="s">
        <v>25</v>
      </c>
      <c r="E34" s="73">
        <v>0</v>
      </c>
    </row>
    <row r="35" spans="1:5" outlineLevel="1" x14ac:dyDescent="0.3">
      <c r="A35" s="766"/>
      <c r="B35" s="767"/>
      <c r="C35" s="767"/>
      <c r="D35" s="69" t="s">
        <v>26</v>
      </c>
      <c r="E35" s="73">
        <v>0</v>
      </c>
    </row>
    <row r="36" spans="1:5" outlineLevel="1" x14ac:dyDescent="0.3">
      <c r="A36" s="766"/>
      <c r="B36" s="767"/>
      <c r="C36" s="767"/>
      <c r="D36" s="69" t="s">
        <v>27</v>
      </c>
      <c r="E36" s="73">
        <v>0</v>
      </c>
    </row>
    <row r="37" spans="1:5" outlineLevel="1" x14ac:dyDescent="0.3">
      <c r="A37" s="766"/>
      <c r="B37" s="767"/>
      <c r="C37" s="767"/>
      <c r="D37" s="69" t="s">
        <v>28</v>
      </c>
      <c r="E37" s="73">
        <v>0</v>
      </c>
    </row>
    <row r="38" spans="1:5" outlineLevel="1" x14ac:dyDescent="0.3">
      <c r="A38" s="766"/>
      <c r="B38" s="767"/>
      <c r="C38" s="767"/>
      <c r="D38" s="69" t="s">
        <v>29</v>
      </c>
      <c r="E38" s="73">
        <v>0</v>
      </c>
    </row>
    <row r="39" spans="1:5" outlineLevel="1" x14ac:dyDescent="0.3">
      <c r="A39" s="766"/>
      <c r="B39" s="767"/>
      <c r="C39" s="767"/>
      <c r="D39" s="69" t="s">
        <v>30</v>
      </c>
      <c r="E39" s="73">
        <v>0</v>
      </c>
    </row>
    <row r="40" spans="1:5" outlineLevel="1" x14ac:dyDescent="0.3">
      <c r="A40" s="766"/>
      <c r="B40" s="767"/>
      <c r="C40" s="767"/>
      <c r="D40" s="69" t="s">
        <v>31</v>
      </c>
      <c r="E40" s="73">
        <v>0</v>
      </c>
    </row>
    <row r="41" spans="1:5" outlineLevel="1" x14ac:dyDescent="0.3">
      <c r="A41" s="766"/>
      <c r="B41" s="767"/>
      <c r="C41" s="767"/>
      <c r="D41" s="69" t="s">
        <v>32</v>
      </c>
      <c r="E41" s="73">
        <v>0</v>
      </c>
    </row>
    <row r="42" spans="1:5" outlineLevel="1" x14ac:dyDescent="0.3">
      <c r="A42" s="766"/>
      <c r="B42" s="767"/>
      <c r="C42" s="767"/>
      <c r="D42" s="69" t="s">
        <v>33</v>
      </c>
      <c r="E42" s="73">
        <v>0</v>
      </c>
    </row>
    <row r="43" spans="1:5" ht="15" outlineLevel="1" thickBot="1" x14ac:dyDescent="0.35">
      <c r="A43" s="766"/>
      <c r="B43" s="767"/>
      <c r="C43" s="767"/>
      <c r="D43" s="70" t="s">
        <v>34</v>
      </c>
      <c r="E43" s="74">
        <v>0</v>
      </c>
    </row>
    <row r="44" spans="1:5" outlineLevel="1" x14ac:dyDescent="0.3">
      <c r="A44" s="766" t="s">
        <v>94</v>
      </c>
      <c r="B44" s="767" t="s">
        <v>80</v>
      </c>
      <c r="C44" s="767">
        <v>637001</v>
      </c>
      <c r="D44" s="68" t="s">
        <v>25</v>
      </c>
      <c r="E44" s="73">
        <v>0</v>
      </c>
    </row>
    <row r="45" spans="1:5" outlineLevel="1" x14ac:dyDescent="0.3">
      <c r="A45" s="766"/>
      <c r="B45" s="767"/>
      <c r="C45" s="767"/>
      <c r="D45" s="69" t="s">
        <v>26</v>
      </c>
      <c r="E45" s="73">
        <v>0</v>
      </c>
    </row>
    <row r="46" spans="1:5" outlineLevel="1" x14ac:dyDescent="0.3">
      <c r="A46" s="766"/>
      <c r="B46" s="767"/>
      <c r="C46" s="767"/>
      <c r="D46" s="69" t="s">
        <v>27</v>
      </c>
      <c r="E46" s="73">
        <v>0</v>
      </c>
    </row>
    <row r="47" spans="1:5" outlineLevel="1" x14ac:dyDescent="0.3">
      <c r="A47" s="766"/>
      <c r="B47" s="767"/>
      <c r="C47" s="767"/>
      <c r="D47" s="69" t="s">
        <v>28</v>
      </c>
      <c r="E47" s="73">
        <v>0</v>
      </c>
    </row>
    <row r="48" spans="1:5" outlineLevel="1" x14ac:dyDescent="0.3">
      <c r="A48" s="766"/>
      <c r="B48" s="767"/>
      <c r="C48" s="767"/>
      <c r="D48" s="69" t="s">
        <v>29</v>
      </c>
      <c r="E48" s="73">
        <v>0</v>
      </c>
    </row>
    <row r="49" spans="1:5" outlineLevel="1" x14ac:dyDescent="0.3">
      <c r="A49" s="766"/>
      <c r="B49" s="767"/>
      <c r="C49" s="767"/>
      <c r="D49" s="69" t="s">
        <v>30</v>
      </c>
      <c r="E49" s="73">
        <v>0</v>
      </c>
    </row>
    <row r="50" spans="1:5" outlineLevel="1" x14ac:dyDescent="0.3">
      <c r="A50" s="766"/>
      <c r="B50" s="767"/>
      <c r="C50" s="767"/>
      <c r="D50" s="69" t="s">
        <v>31</v>
      </c>
      <c r="E50" s="73">
        <v>0</v>
      </c>
    </row>
    <row r="51" spans="1:5" outlineLevel="1" x14ac:dyDescent="0.3">
      <c r="A51" s="766"/>
      <c r="B51" s="767"/>
      <c r="C51" s="767"/>
      <c r="D51" s="69" t="s">
        <v>32</v>
      </c>
      <c r="E51" s="73">
        <v>0</v>
      </c>
    </row>
    <row r="52" spans="1:5" outlineLevel="1" x14ac:dyDescent="0.3">
      <c r="A52" s="766"/>
      <c r="B52" s="767"/>
      <c r="C52" s="767"/>
      <c r="D52" s="69" t="s">
        <v>33</v>
      </c>
      <c r="E52" s="73">
        <v>0</v>
      </c>
    </row>
    <row r="53" spans="1:5" ht="15" outlineLevel="1" thickBot="1" x14ac:dyDescent="0.35">
      <c r="A53" s="766"/>
      <c r="B53" s="767"/>
      <c r="C53" s="767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J170"/>
  <sheetViews>
    <sheetView view="pageBreakPreview" topLeftCell="A46" zoomScale="85" zoomScaleNormal="85" zoomScaleSheetLayoutView="85" workbookViewId="0">
      <selection activeCell="F100" sqref="F100"/>
    </sheetView>
  </sheetViews>
  <sheetFormatPr defaultColWidth="8.88671875" defaultRowHeight="14.4" outlineLevelRow="2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9" width="19.33203125" customWidth="1" outlineLevel="1"/>
    <col min="10" max="10" width="22.109375" customWidth="1" outlineLevel="1"/>
  </cols>
  <sheetData>
    <row r="1" spans="1:10" ht="29.4" thickBot="1" x14ac:dyDescent="0.45">
      <c r="A1" s="762" t="s">
        <v>101</v>
      </c>
      <c r="B1" s="762"/>
      <c r="C1" s="762"/>
      <c r="D1" s="763"/>
      <c r="E1" s="71" t="s">
        <v>35</v>
      </c>
      <c r="F1" s="319" t="s">
        <v>407</v>
      </c>
      <c r="G1" s="319" t="s">
        <v>212</v>
      </c>
      <c r="H1" s="319" t="s">
        <v>212</v>
      </c>
      <c r="I1" s="319" t="s">
        <v>212</v>
      </c>
      <c r="J1" s="319" t="s">
        <v>212</v>
      </c>
    </row>
    <row r="2" spans="1:10" ht="15" thickBot="1" x14ac:dyDescent="0.35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</row>
    <row r="3" spans="1:10" ht="15" thickBot="1" x14ac:dyDescent="0.35">
      <c r="A3" s="769" t="s">
        <v>121</v>
      </c>
      <c r="B3" s="770"/>
      <c r="C3" s="770"/>
      <c r="D3" s="81"/>
      <c r="E3" s="78">
        <f t="shared" ref="E3:J3" si="0">E4+E25</f>
        <v>182169</v>
      </c>
      <c r="F3" s="79">
        <f t="shared" si="0"/>
        <v>182169</v>
      </c>
      <c r="G3" s="79">
        <f t="shared" si="0"/>
        <v>0</v>
      </c>
      <c r="H3" s="275">
        <f t="shared" si="0"/>
        <v>0</v>
      </c>
      <c r="I3" s="275">
        <f t="shared" si="0"/>
        <v>0</v>
      </c>
      <c r="J3" s="80">
        <f t="shared" si="0"/>
        <v>0</v>
      </c>
    </row>
    <row r="4" spans="1:10" ht="15" outlineLevel="1" thickBot="1" x14ac:dyDescent="0.35">
      <c r="A4" s="17" t="s">
        <v>108</v>
      </c>
      <c r="B4" s="17"/>
      <c r="C4" s="17"/>
      <c r="D4" s="28"/>
      <c r="E4" s="78">
        <f t="shared" ref="E4:J4" si="1">SUM(E5:E24)</f>
        <v>30204</v>
      </c>
      <c r="F4" s="79">
        <f t="shared" si="1"/>
        <v>30204</v>
      </c>
      <c r="G4" s="79">
        <f t="shared" si="1"/>
        <v>0</v>
      </c>
      <c r="H4" s="275">
        <f t="shared" si="1"/>
        <v>0</v>
      </c>
      <c r="I4" s="275">
        <f t="shared" si="1"/>
        <v>0</v>
      </c>
      <c r="J4" s="80">
        <f t="shared" si="1"/>
        <v>0</v>
      </c>
    </row>
    <row r="5" spans="1:10" outlineLevel="2" x14ac:dyDescent="0.3">
      <c r="A5" s="766" t="s">
        <v>74</v>
      </c>
      <c r="B5" s="767" t="s">
        <v>75</v>
      </c>
      <c r="C5" s="767">
        <v>711003</v>
      </c>
      <c r="D5" s="68" t="s">
        <v>25</v>
      </c>
      <c r="E5" s="65">
        <f>SUM(F5:J5)</f>
        <v>30204</v>
      </c>
      <c r="F5" s="129">
        <f>Rozpočet_vývoj!G26</f>
        <v>30204</v>
      </c>
      <c r="G5" s="130">
        <v>0</v>
      </c>
      <c r="H5" s="276">
        <v>0</v>
      </c>
      <c r="I5" s="276">
        <v>0</v>
      </c>
      <c r="J5" s="135">
        <v>0</v>
      </c>
    </row>
    <row r="6" spans="1:10" outlineLevel="2" x14ac:dyDescent="0.3">
      <c r="A6" s="766"/>
      <c r="B6" s="767"/>
      <c r="C6" s="767"/>
      <c r="D6" s="69" t="s">
        <v>26</v>
      </c>
      <c r="E6" s="66">
        <f t="shared" ref="E6:E24" si="2">SUM(F6:J6)</f>
        <v>0</v>
      </c>
      <c r="F6" s="131">
        <v>0</v>
      </c>
      <c r="G6" s="132">
        <v>0</v>
      </c>
      <c r="H6" s="277">
        <v>0</v>
      </c>
      <c r="I6" s="277">
        <v>0</v>
      </c>
      <c r="J6" s="136">
        <v>0</v>
      </c>
    </row>
    <row r="7" spans="1:10" outlineLevel="2" x14ac:dyDescent="0.3">
      <c r="A7" s="766"/>
      <c r="B7" s="767"/>
      <c r="C7" s="767"/>
      <c r="D7" s="69" t="s">
        <v>27</v>
      </c>
      <c r="E7" s="66">
        <f t="shared" si="2"/>
        <v>0</v>
      </c>
      <c r="F7" s="131">
        <v>0</v>
      </c>
      <c r="G7" s="132">
        <v>0</v>
      </c>
      <c r="H7" s="277">
        <v>0</v>
      </c>
      <c r="I7" s="277">
        <v>0</v>
      </c>
      <c r="J7" s="136">
        <v>0</v>
      </c>
    </row>
    <row r="8" spans="1:10" outlineLevel="2" x14ac:dyDescent="0.3">
      <c r="A8" s="766"/>
      <c r="B8" s="767"/>
      <c r="C8" s="767"/>
      <c r="D8" s="69" t="s">
        <v>28</v>
      </c>
      <c r="E8" s="66">
        <f t="shared" si="2"/>
        <v>0</v>
      </c>
      <c r="F8" s="131">
        <v>0</v>
      </c>
      <c r="G8" s="132">
        <v>0</v>
      </c>
      <c r="H8" s="277">
        <v>0</v>
      </c>
      <c r="I8" s="277">
        <v>0</v>
      </c>
      <c r="J8" s="136">
        <v>0</v>
      </c>
    </row>
    <row r="9" spans="1:10" outlineLevel="2" x14ac:dyDescent="0.3">
      <c r="A9" s="766"/>
      <c r="B9" s="767"/>
      <c r="C9" s="767"/>
      <c r="D9" s="69" t="s">
        <v>29</v>
      </c>
      <c r="E9" s="66">
        <f t="shared" si="2"/>
        <v>0</v>
      </c>
      <c r="F9" s="131">
        <v>0</v>
      </c>
      <c r="G9" s="132">
        <v>0</v>
      </c>
      <c r="H9" s="277">
        <v>0</v>
      </c>
      <c r="I9" s="277">
        <v>0</v>
      </c>
      <c r="J9" s="136">
        <v>0</v>
      </c>
    </row>
    <row r="10" spans="1:10" outlineLevel="2" x14ac:dyDescent="0.3">
      <c r="A10" s="766"/>
      <c r="B10" s="767"/>
      <c r="C10" s="767"/>
      <c r="D10" s="69" t="s">
        <v>30</v>
      </c>
      <c r="E10" s="66">
        <f t="shared" si="2"/>
        <v>0</v>
      </c>
      <c r="F10" s="131">
        <v>0</v>
      </c>
      <c r="G10" s="132">
        <v>0</v>
      </c>
      <c r="H10" s="277">
        <v>0</v>
      </c>
      <c r="I10" s="277">
        <v>0</v>
      </c>
      <c r="J10" s="136">
        <v>0</v>
      </c>
    </row>
    <row r="11" spans="1:10" outlineLevel="2" x14ac:dyDescent="0.3">
      <c r="A11" s="766"/>
      <c r="B11" s="767"/>
      <c r="C11" s="767"/>
      <c r="D11" s="69" t="s">
        <v>31</v>
      </c>
      <c r="E11" s="66">
        <f t="shared" si="2"/>
        <v>0</v>
      </c>
      <c r="F11" s="131">
        <v>0</v>
      </c>
      <c r="G11" s="132">
        <v>0</v>
      </c>
      <c r="H11" s="277">
        <v>0</v>
      </c>
      <c r="I11" s="277">
        <v>0</v>
      </c>
      <c r="J11" s="136">
        <v>0</v>
      </c>
    </row>
    <row r="12" spans="1:10" outlineLevel="2" x14ac:dyDescent="0.3">
      <c r="A12" s="766"/>
      <c r="B12" s="767"/>
      <c r="C12" s="767"/>
      <c r="D12" s="69" t="s">
        <v>32</v>
      </c>
      <c r="E12" s="66">
        <f t="shared" si="2"/>
        <v>0</v>
      </c>
      <c r="F12" s="131">
        <v>0</v>
      </c>
      <c r="G12" s="132">
        <v>0</v>
      </c>
      <c r="H12" s="277">
        <v>0</v>
      </c>
      <c r="I12" s="277">
        <v>0</v>
      </c>
      <c r="J12" s="136">
        <v>0</v>
      </c>
    </row>
    <row r="13" spans="1:10" outlineLevel="2" x14ac:dyDescent="0.3">
      <c r="A13" s="766"/>
      <c r="B13" s="767"/>
      <c r="C13" s="767"/>
      <c r="D13" s="69" t="s">
        <v>33</v>
      </c>
      <c r="E13" s="66">
        <f t="shared" si="2"/>
        <v>0</v>
      </c>
      <c r="F13" s="131">
        <v>0</v>
      </c>
      <c r="G13" s="132">
        <v>0</v>
      </c>
      <c r="H13" s="277">
        <v>0</v>
      </c>
      <c r="I13" s="277">
        <v>0</v>
      </c>
      <c r="J13" s="136">
        <v>0</v>
      </c>
    </row>
    <row r="14" spans="1:10" ht="15" outlineLevel="2" thickBot="1" x14ac:dyDescent="0.35">
      <c r="A14" s="766"/>
      <c r="B14" s="767"/>
      <c r="C14" s="767"/>
      <c r="D14" s="70" t="s">
        <v>34</v>
      </c>
      <c r="E14" s="66">
        <f t="shared" si="2"/>
        <v>0</v>
      </c>
      <c r="F14" s="133">
        <v>0</v>
      </c>
      <c r="G14" s="134">
        <v>0</v>
      </c>
      <c r="H14" s="278">
        <v>0</v>
      </c>
      <c r="I14" s="278">
        <v>0</v>
      </c>
      <c r="J14" s="137">
        <v>0</v>
      </c>
    </row>
    <row r="15" spans="1:10" outlineLevel="2" x14ac:dyDescent="0.3">
      <c r="A15" s="766" t="s">
        <v>74</v>
      </c>
      <c r="B15" s="767" t="s">
        <v>80</v>
      </c>
      <c r="C15" s="767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276">
        <v>0</v>
      </c>
      <c r="I15" s="276">
        <v>0</v>
      </c>
      <c r="J15" s="135">
        <v>0</v>
      </c>
    </row>
    <row r="16" spans="1:10" outlineLevel="2" x14ac:dyDescent="0.3">
      <c r="A16" s="766"/>
      <c r="B16" s="767"/>
      <c r="C16" s="767"/>
      <c r="D16" s="69" t="s">
        <v>26</v>
      </c>
      <c r="E16" s="66">
        <f t="shared" si="2"/>
        <v>0</v>
      </c>
      <c r="F16" s="131">
        <v>0</v>
      </c>
      <c r="G16" s="132">
        <v>0</v>
      </c>
      <c r="H16" s="277">
        <v>0</v>
      </c>
      <c r="I16" s="277">
        <v>0</v>
      </c>
      <c r="J16" s="136">
        <v>0</v>
      </c>
    </row>
    <row r="17" spans="1:10" outlineLevel="2" x14ac:dyDescent="0.3">
      <c r="A17" s="766"/>
      <c r="B17" s="767"/>
      <c r="C17" s="767"/>
      <c r="D17" s="69" t="s">
        <v>27</v>
      </c>
      <c r="E17" s="66">
        <f t="shared" si="2"/>
        <v>0</v>
      </c>
      <c r="F17" s="131">
        <v>0</v>
      </c>
      <c r="G17" s="132">
        <v>0</v>
      </c>
      <c r="H17" s="277">
        <v>0</v>
      </c>
      <c r="I17" s="277">
        <v>0</v>
      </c>
      <c r="J17" s="136">
        <v>0</v>
      </c>
    </row>
    <row r="18" spans="1:10" outlineLevel="2" x14ac:dyDescent="0.3">
      <c r="A18" s="766"/>
      <c r="B18" s="767"/>
      <c r="C18" s="767"/>
      <c r="D18" s="69" t="s">
        <v>28</v>
      </c>
      <c r="E18" s="66">
        <f t="shared" si="2"/>
        <v>0</v>
      </c>
      <c r="F18" s="131">
        <v>0</v>
      </c>
      <c r="G18" s="132">
        <v>0</v>
      </c>
      <c r="H18" s="277">
        <v>0</v>
      </c>
      <c r="I18" s="277">
        <v>0</v>
      </c>
      <c r="J18" s="136">
        <v>0</v>
      </c>
    </row>
    <row r="19" spans="1:10" outlineLevel="2" x14ac:dyDescent="0.3">
      <c r="A19" s="766"/>
      <c r="B19" s="767"/>
      <c r="C19" s="767"/>
      <c r="D19" s="69" t="s">
        <v>29</v>
      </c>
      <c r="E19" s="66">
        <f t="shared" si="2"/>
        <v>0</v>
      </c>
      <c r="F19" s="131">
        <v>0</v>
      </c>
      <c r="G19" s="132">
        <v>0</v>
      </c>
      <c r="H19" s="277">
        <v>0</v>
      </c>
      <c r="I19" s="277">
        <v>0</v>
      </c>
      <c r="J19" s="136">
        <v>0</v>
      </c>
    </row>
    <row r="20" spans="1:10" outlineLevel="2" x14ac:dyDescent="0.3">
      <c r="A20" s="766"/>
      <c r="B20" s="767"/>
      <c r="C20" s="767"/>
      <c r="D20" s="69" t="s">
        <v>30</v>
      </c>
      <c r="E20" s="66">
        <f t="shared" si="2"/>
        <v>0</v>
      </c>
      <c r="F20" s="131">
        <v>0</v>
      </c>
      <c r="G20" s="132">
        <v>0</v>
      </c>
      <c r="H20" s="277">
        <v>0</v>
      </c>
      <c r="I20" s="277">
        <v>0</v>
      </c>
      <c r="J20" s="136">
        <v>0</v>
      </c>
    </row>
    <row r="21" spans="1:10" outlineLevel="2" x14ac:dyDescent="0.3">
      <c r="A21" s="766"/>
      <c r="B21" s="767"/>
      <c r="C21" s="767"/>
      <c r="D21" s="69" t="s">
        <v>31</v>
      </c>
      <c r="E21" s="66">
        <f t="shared" si="2"/>
        <v>0</v>
      </c>
      <c r="F21" s="131">
        <v>0</v>
      </c>
      <c r="G21" s="132">
        <v>0</v>
      </c>
      <c r="H21" s="277">
        <v>0</v>
      </c>
      <c r="I21" s="277">
        <v>0</v>
      </c>
      <c r="J21" s="136">
        <v>0</v>
      </c>
    </row>
    <row r="22" spans="1:10" outlineLevel="2" x14ac:dyDescent="0.3">
      <c r="A22" s="766"/>
      <c r="B22" s="767"/>
      <c r="C22" s="767"/>
      <c r="D22" s="69" t="s">
        <v>32</v>
      </c>
      <c r="E22" s="66">
        <f t="shared" si="2"/>
        <v>0</v>
      </c>
      <c r="F22" s="131">
        <v>0</v>
      </c>
      <c r="G22" s="132">
        <v>0</v>
      </c>
      <c r="H22" s="277">
        <v>0</v>
      </c>
      <c r="I22" s="277">
        <v>0</v>
      </c>
      <c r="J22" s="136">
        <v>0</v>
      </c>
    </row>
    <row r="23" spans="1:10" outlineLevel="2" x14ac:dyDescent="0.3">
      <c r="A23" s="766"/>
      <c r="B23" s="767"/>
      <c r="C23" s="767"/>
      <c r="D23" s="69" t="s">
        <v>33</v>
      </c>
      <c r="E23" s="66">
        <f t="shared" si="2"/>
        <v>0</v>
      </c>
      <c r="F23" s="131">
        <v>0</v>
      </c>
      <c r="G23" s="132">
        <v>0</v>
      </c>
      <c r="H23" s="277">
        <v>0</v>
      </c>
      <c r="I23" s="277">
        <v>0</v>
      </c>
      <c r="J23" s="136">
        <v>0</v>
      </c>
    </row>
    <row r="24" spans="1:10" ht="15" outlineLevel="2" thickBot="1" x14ac:dyDescent="0.35">
      <c r="A24" s="766"/>
      <c r="B24" s="767"/>
      <c r="C24" s="767"/>
      <c r="D24" s="70" t="s">
        <v>34</v>
      </c>
      <c r="E24" s="67">
        <f t="shared" si="2"/>
        <v>0</v>
      </c>
      <c r="F24" s="133">
        <v>0</v>
      </c>
      <c r="G24" s="134">
        <v>0</v>
      </c>
      <c r="H24" s="278">
        <v>0</v>
      </c>
      <c r="I24" s="278">
        <v>0</v>
      </c>
      <c r="J24" s="137">
        <v>0</v>
      </c>
    </row>
    <row r="25" spans="1:10" ht="15" outlineLevel="1" thickBot="1" x14ac:dyDescent="0.35">
      <c r="A25" s="17" t="s">
        <v>109</v>
      </c>
      <c r="B25" s="17"/>
      <c r="C25" s="17"/>
      <c r="D25" s="28"/>
      <c r="E25" s="143">
        <f t="shared" ref="E25:J25" si="3">SUM(E26:E55)</f>
        <v>151965</v>
      </c>
      <c r="F25" s="144">
        <f t="shared" si="3"/>
        <v>151965</v>
      </c>
      <c r="G25" s="144">
        <f t="shared" si="3"/>
        <v>0</v>
      </c>
      <c r="H25" s="279">
        <f t="shared" si="3"/>
        <v>0</v>
      </c>
      <c r="I25" s="279">
        <f t="shared" si="3"/>
        <v>0</v>
      </c>
      <c r="J25" s="145">
        <f t="shared" si="3"/>
        <v>0</v>
      </c>
    </row>
    <row r="26" spans="1:10" outlineLevel="2" x14ac:dyDescent="0.3">
      <c r="A26" s="766" t="s">
        <v>78</v>
      </c>
      <c r="B26" s="767" t="s">
        <v>75</v>
      </c>
      <c r="C26" s="767">
        <v>711003</v>
      </c>
      <c r="D26" s="68" t="s">
        <v>25</v>
      </c>
      <c r="E26" s="72">
        <f t="shared" ref="E26:E55" si="4">SUM(F26:J26)</f>
        <v>151965</v>
      </c>
      <c r="F26" s="120">
        <f>Rozpočet_vývoj!G24</f>
        <v>151965</v>
      </c>
      <c r="G26" s="121">
        <v>0</v>
      </c>
      <c r="H26" s="280">
        <v>0</v>
      </c>
      <c r="I26" s="280">
        <v>0</v>
      </c>
      <c r="J26" s="122">
        <v>0</v>
      </c>
    </row>
    <row r="27" spans="1:10" outlineLevel="2" x14ac:dyDescent="0.3">
      <c r="A27" s="766"/>
      <c r="B27" s="767"/>
      <c r="C27" s="767"/>
      <c r="D27" s="69" t="s">
        <v>26</v>
      </c>
      <c r="E27" s="73">
        <f t="shared" si="4"/>
        <v>0</v>
      </c>
      <c r="F27" s="123">
        <v>0</v>
      </c>
      <c r="G27" s="124">
        <v>0</v>
      </c>
      <c r="H27" s="281">
        <v>0</v>
      </c>
      <c r="I27" s="281">
        <v>0</v>
      </c>
      <c r="J27" s="125">
        <v>0</v>
      </c>
    </row>
    <row r="28" spans="1:10" outlineLevel="2" x14ac:dyDescent="0.3">
      <c r="A28" s="766"/>
      <c r="B28" s="767"/>
      <c r="C28" s="767"/>
      <c r="D28" s="69" t="s">
        <v>27</v>
      </c>
      <c r="E28" s="73">
        <f t="shared" si="4"/>
        <v>0</v>
      </c>
      <c r="F28" s="123">
        <v>0</v>
      </c>
      <c r="G28" s="124">
        <v>0</v>
      </c>
      <c r="H28" s="281">
        <v>0</v>
      </c>
      <c r="I28" s="281">
        <v>0</v>
      </c>
      <c r="J28" s="125">
        <v>0</v>
      </c>
    </row>
    <row r="29" spans="1:10" outlineLevel="2" x14ac:dyDescent="0.3">
      <c r="A29" s="766"/>
      <c r="B29" s="767"/>
      <c r="C29" s="767"/>
      <c r="D29" s="69" t="s">
        <v>28</v>
      </c>
      <c r="E29" s="73">
        <f t="shared" si="4"/>
        <v>0</v>
      </c>
      <c r="F29" s="123">
        <v>0</v>
      </c>
      <c r="G29" s="124">
        <v>0</v>
      </c>
      <c r="H29" s="281">
        <v>0</v>
      </c>
      <c r="I29" s="281">
        <v>0</v>
      </c>
      <c r="J29" s="125">
        <v>0</v>
      </c>
    </row>
    <row r="30" spans="1:10" outlineLevel="2" x14ac:dyDescent="0.3">
      <c r="A30" s="766"/>
      <c r="B30" s="767"/>
      <c r="C30" s="767"/>
      <c r="D30" s="69" t="s">
        <v>29</v>
      </c>
      <c r="E30" s="73">
        <f t="shared" si="4"/>
        <v>0</v>
      </c>
      <c r="F30" s="123">
        <v>0</v>
      </c>
      <c r="G30" s="124">
        <v>0</v>
      </c>
      <c r="H30" s="281">
        <v>0</v>
      </c>
      <c r="I30" s="281">
        <v>0</v>
      </c>
      <c r="J30" s="125">
        <v>0</v>
      </c>
    </row>
    <row r="31" spans="1:10" outlineLevel="2" x14ac:dyDescent="0.3">
      <c r="A31" s="766"/>
      <c r="B31" s="767"/>
      <c r="C31" s="767"/>
      <c r="D31" s="69" t="s">
        <v>30</v>
      </c>
      <c r="E31" s="73">
        <f t="shared" si="4"/>
        <v>0</v>
      </c>
      <c r="F31" s="123">
        <v>0</v>
      </c>
      <c r="G31" s="124">
        <v>0</v>
      </c>
      <c r="H31" s="281">
        <v>0</v>
      </c>
      <c r="I31" s="281">
        <v>0</v>
      </c>
      <c r="J31" s="125">
        <v>0</v>
      </c>
    </row>
    <row r="32" spans="1:10" outlineLevel="2" x14ac:dyDescent="0.3">
      <c r="A32" s="766"/>
      <c r="B32" s="767"/>
      <c r="C32" s="767"/>
      <c r="D32" s="69" t="s">
        <v>31</v>
      </c>
      <c r="E32" s="73">
        <f t="shared" si="4"/>
        <v>0</v>
      </c>
      <c r="F32" s="123">
        <v>0</v>
      </c>
      <c r="G32" s="124">
        <v>0</v>
      </c>
      <c r="H32" s="281">
        <v>0</v>
      </c>
      <c r="I32" s="281">
        <v>0</v>
      </c>
      <c r="J32" s="125">
        <v>0</v>
      </c>
    </row>
    <row r="33" spans="1:10" outlineLevel="2" x14ac:dyDescent="0.3">
      <c r="A33" s="766"/>
      <c r="B33" s="767"/>
      <c r="C33" s="767"/>
      <c r="D33" s="69" t="s">
        <v>32</v>
      </c>
      <c r="E33" s="73">
        <f t="shared" si="4"/>
        <v>0</v>
      </c>
      <c r="F33" s="123">
        <v>0</v>
      </c>
      <c r="G33" s="124">
        <v>0</v>
      </c>
      <c r="H33" s="281">
        <v>0</v>
      </c>
      <c r="I33" s="281">
        <v>0</v>
      </c>
      <c r="J33" s="125">
        <v>0</v>
      </c>
    </row>
    <row r="34" spans="1:10" outlineLevel="2" x14ac:dyDescent="0.3">
      <c r="A34" s="766"/>
      <c r="B34" s="767"/>
      <c r="C34" s="767"/>
      <c r="D34" s="69" t="s">
        <v>33</v>
      </c>
      <c r="E34" s="73">
        <f t="shared" si="4"/>
        <v>0</v>
      </c>
      <c r="F34" s="123">
        <v>0</v>
      </c>
      <c r="G34" s="124">
        <v>0</v>
      </c>
      <c r="H34" s="281">
        <v>0</v>
      </c>
      <c r="I34" s="281">
        <v>0</v>
      </c>
      <c r="J34" s="125">
        <v>0</v>
      </c>
    </row>
    <row r="35" spans="1:10" ht="15" outlineLevel="2" thickBot="1" x14ac:dyDescent="0.35">
      <c r="A35" s="766"/>
      <c r="B35" s="767"/>
      <c r="C35" s="767"/>
      <c r="D35" s="70" t="s">
        <v>34</v>
      </c>
      <c r="E35" s="74">
        <f t="shared" si="4"/>
        <v>0</v>
      </c>
      <c r="F35" s="126">
        <v>0</v>
      </c>
      <c r="G35" s="127">
        <v>0</v>
      </c>
      <c r="H35" s="282">
        <v>0</v>
      </c>
      <c r="I35" s="282">
        <v>0</v>
      </c>
      <c r="J35" s="128">
        <v>0</v>
      </c>
    </row>
    <row r="36" spans="1:10" outlineLevel="2" x14ac:dyDescent="0.3">
      <c r="A36" s="766" t="s">
        <v>78</v>
      </c>
      <c r="B36" s="767" t="s">
        <v>80</v>
      </c>
      <c r="C36" s="767">
        <v>633013</v>
      </c>
      <c r="D36" s="68" t="s">
        <v>25</v>
      </c>
      <c r="E36" s="73">
        <f t="shared" si="4"/>
        <v>0</v>
      </c>
      <c r="F36" s="120">
        <v>0</v>
      </c>
      <c r="G36" s="121">
        <v>0</v>
      </c>
      <c r="H36" s="280">
        <v>0</v>
      </c>
      <c r="I36" s="280">
        <v>0</v>
      </c>
      <c r="J36" s="122">
        <v>0</v>
      </c>
    </row>
    <row r="37" spans="1:10" outlineLevel="2" x14ac:dyDescent="0.3">
      <c r="A37" s="766"/>
      <c r="B37" s="767"/>
      <c r="C37" s="767"/>
      <c r="D37" s="69" t="s">
        <v>26</v>
      </c>
      <c r="E37" s="73">
        <f t="shared" si="4"/>
        <v>0</v>
      </c>
      <c r="F37" s="123">
        <v>0</v>
      </c>
      <c r="G37" s="124">
        <v>0</v>
      </c>
      <c r="H37" s="281">
        <v>0</v>
      </c>
      <c r="I37" s="281">
        <v>0</v>
      </c>
      <c r="J37" s="125">
        <v>0</v>
      </c>
    </row>
    <row r="38" spans="1:10" outlineLevel="2" x14ac:dyDescent="0.3">
      <c r="A38" s="766"/>
      <c r="B38" s="767"/>
      <c r="C38" s="767"/>
      <c r="D38" s="69" t="s">
        <v>27</v>
      </c>
      <c r="E38" s="73">
        <f t="shared" si="4"/>
        <v>0</v>
      </c>
      <c r="F38" s="123">
        <v>0</v>
      </c>
      <c r="G38" s="124">
        <v>0</v>
      </c>
      <c r="H38" s="281">
        <v>0</v>
      </c>
      <c r="I38" s="281">
        <v>0</v>
      </c>
      <c r="J38" s="125">
        <v>0</v>
      </c>
    </row>
    <row r="39" spans="1:10" outlineLevel="2" x14ac:dyDescent="0.3">
      <c r="A39" s="766"/>
      <c r="B39" s="767"/>
      <c r="C39" s="767"/>
      <c r="D39" s="69" t="s">
        <v>28</v>
      </c>
      <c r="E39" s="73">
        <f t="shared" si="4"/>
        <v>0</v>
      </c>
      <c r="F39" s="123">
        <v>0</v>
      </c>
      <c r="G39" s="124">
        <v>0</v>
      </c>
      <c r="H39" s="281">
        <v>0</v>
      </c>
      <c r="I39" s="281">
        <v>0</v>
      </c>
      <c r="J39" s="125">
        <v>0</v>
      </c>
    </row>
    <row r="40" spans="1:10" outlineLevel="2" x14ac:dyDescent="0.3">
      <c r="A40" s="766"/>
      <c r="B40" s="767"/>
      <c r="C40" s="767"/>
      <c r="D40" s="69" t="s">
        <v>29</v>
      </c>
      <c r="E40" s="73">
        <f t="shared" si="4"/>
        <v>0</v>
      </c>
      <c r="F40" s="123">
        <v>0</v>
      </c>
      <c r="G40" s="124">
        <v>0</v>
      </c>
      <c r="H40" s="281">
        <v>0</v>
      </c>
      <c r="I40" s="281">
        <v>0</v>
      </c>
      <c r="J40" s="125">
        <v>0</v>
      </c>
    </row>
    <row r="41" spans="1:10" outlineLevel="2" x14ac:dyDescent="0.3">
      <c r="A41" s="766"/>
      <c r="B41" s="767"/>
      <c r="C41" s="767"/>
      <c r="D41" s="69" t="s">
        <v>30</v>
      </c>
      <c r="E41" s="73">
        <f t="shared" si="4"/>
        <v>0</v>
      </c>
      <c r="F41" s="123">
        <v>0</v>
      </c>
      <c r="G41" s="124">
        <v>0</v>
      </c>
      <c r="H41" s="281">
        <v>0</v>
      </c>
      <c r="I41" s="281">
        <v>0</v>
      </c>
      <c r="J41" s="125">
        <v>0</v>
      </c>
    </row>
    <row r="42" spans="1:10" outlineLevel="2" x14ac:dyDescent="0.3">
      <c r="A42" s="766"/>
      <c r="B42" s="767"/>
      <c r="C42" s="767"/>
      <c r="D42" s="69" t="s">
        <v>31</v>
      </c>
      <c r="E42" s="73">
        <f t="shared" si="4"/>
        <v>0</v>
      </c>
      <c r="F42" s="123">
        <v>0</v>
      </c>
      <c r="G42" s="124">
        <v>0</v>
      </c>
      <c r="H42" s="281">
        <v>0</v>
      </c>
      <c r="I42" s="281">
        <v>0</v>
      </c>
      <c r="J42" s="125">
        <v>0</v>
      </c>
    </row>
    <row r="43" spans="1:10" outlineLevel="2" x14ac:dyDescent="0.3">
      <c r="A43" s="766"/>
      <c r="B43" s="767"/>
      <c r="C43" s="767"/>
      <c r="D43" s="69" t="s">
        <v>32</v>
      </c>
      <c r="E43" s="73">
        <f t="shared" si="4"/>
        <v>0</v>
      </c>
      <c r="F43" s="123">
        <v>0</v>
      </c>
      <c r="G43" s="124">
        <v>0</v>
      </c>
      <c r="H43" s="281">
        <v>0</v>
      </c>
      <c r="I43" s="281">
        <v>0</v>
      </c>
      <c r="J43" s="125">
        <v>0</v>
      </c>
    </row>
    <row r="44" spans="1:10" outlineLevel="2" x14ac:dyDescent="0.3">
      <c r="A44" s="766"/>
      <c r="B44" s="767"/>
      <c r="C44" s="767"/>
      <c r="D44" s="69" t="s">
        <v>33</v>
      </c>
      <c r="E44" s="73">
        <f t="shared" si="4"/>
        <v>0</v>
      </c>
      <c r="F44" s="123">
        <v>0</v>
      </c>
      <c r="G44" s="124">
        <v>0</v>
      </c>
      <c r="H44" s="281">
        <v>0</v>
      </c>
      <c r="I44" s="281">
        <v>0</v>
      </c>
      <c r="J44" s="125">
        <v>0</v>
      </c>
    </row>
    <row r="45" spans="1:10" ht="15" outlineLevel="2" thickBot="1" x14ac:dyDescent="0.35">
      <c r="A45" s="766"/>
      <c r="B45" s="767"/>
      <c r="C45" s="767"/>
      <c r="D45" s="70" t="s">
        <v>34</v>
      </c>
      <c r="E45" s="74">
        <f t="shared" si="4"/>
        <v>0</v>
      </c>
      <c r="F45" s="126">
        <v>0</v>
      </c>
      <c r="G45" s="127">
        <v>0</v>
      </c>
      <c r="H45" s="282">
        <v>0</v>
      </c>
      <c r="I45" s="282">
        <v>0</v>
      </c>
      <c r="J45" s="128">
        <v>0</v>
      </c>
    </row>
    <row r="46" spans="1:10" outlineLevel="2" x14ac:dyDescent="0.3">
      <c r="A46" s="766" t="s">
        <v>79</v>
      </c>
      <c r="B46" s="767" t="s">
        <v>80</v>
      </c>
      <c r="C46" s="767">
        <v>637001</v>
      </c>
      <c r="D46" s="68" t="s">
        <v>25</v>
      </c>
      <c r="E46" s="73">
        <f t="shared" si="4"/>
        <v>0</v>
      </c>
      <c r="F46" s="120">
        <v>0</v>
      </c>
      <c r="G46" s="121">
        <v>0</v>
      </c>
      <c r="H46" s="280">
        <v>0</v>
      </c>
      <c r="I46" s="280">
        <v>0</v>
      </c>
      <c r="J46" s="122">
        <v>0</v>
      </c>
    </row>
    <row r="47" spans="1:10" outlineLevel="2" x14ac:dyDescent="0.3">
      <c r="A47" s="766"/>
      <c r="B47" s="767"/>
      <c r="C47" s="767"/>
      <c r="D47" s="69" t="s">
        <v>26</v>
      </c>
      <c r="E47" s="73">
        <f t="shared" si="4"/>
        <v>0</v>
      </c>
      <c r="F47" s="123">
        <v>0</v>
      </c>
      <c r="G47" s="124">
        <v>0</v>
      </c>
      <c r="H47" s="281">
        <v>0</v>
      </c>
      <c r="I47" s="281">
        <v>0</v>
      </c>
      <c r="J47" s="125">
        <v>0</v>
      </c>
    </row>
    <row r="48" spans="1:10" outlineLevel="2" x14ac:dyDescent="0.3">
      <c r="A48" s="766"/>
      <c r="B48" s="767"/>
      <c r="C48" s="767"/>
      <c r="D48" s="69" t="s">
        <v>27</v>
      </c>
      <c r="E48" s="73">
        <f t="shared" si="4"/>
        <v>0</v>
      </c>
      <c r="F48" s="123">
        <v>0</v>
      </c>
      <c r="G48" s="124">
        <v>0</v>
      </c>
      <c r="H48" s="281">
        <v>0</v>
      </c>
      <c r="I48" s="281">
        <v>0</v>
      </c>
      <c r="J48" s="125">
        <v>0</v>
      </c>
    </row>
    <row r="49" spans="1:10" outlineLevel="2" x14ac:dyDescent="0.3">
      <c r="A49" s="766"/>
      <c r="B49" s="767"/>
      <c r="C49" s="767"/>
      <c r="D49" s="69" t="s">
        <v>28</v>
      </c>
      <c r="E49" s="73">
        <f t="shared" si="4"/>
        <v>0</v>
      </c>
      <c r="F49" s="123">
        <v>0</v>
      </c>
      <c r="G49" s="124">
        <v>0</v>
      </c>
      <c r="H49" s="281">
        <v>0</v>
      </c>
      <c r="I49" s="281">
        <v>0</v>
      </c>
      <c r="J49" s="125">
        <v>0</v>
      </c>
    </row>
    <row r="50" spans="1:10" outlineLevel="2" x14ac:dyDescent="0.3">
      <c r="A50" s="766"/>
      <c r="B50" s="767"/>
      <c r="C50" s="767"/>
      <c r="D50" s="69" t="s">
        <v>29</v>
      </c>
      <c r="E50" s="73">
        <f t="shared" si="4"/>
        <v>0</v>
      </c>
      <c r="F50" s="123">
        <v>0</v>
      </c>
      <c r="G50" s="124">
        <v>0</v>
      </c>
      <c r="H50" s="281">
        <v>0</v>
      </c>
      <c r="I50" s="281">
        <v>0</v>
      </c>
      <c r="J50" s="125">
        <v>0</v>
      </c>
    </row>
    <row r="51" spans="1:10" outlineLevel="2" x14ac:dyDescent="0.3">
      <c r="A51" s="766"/>
      <c r="B51" s="767"/>
      <c r="C51" s="767"/>
      <c r="D51" s="69" t="s">
        <v>30</v>
      </c>
      <c r="E51" s="73">
        <f t="shared" si="4"/>
        <v>0</v>
      </c>
      <c r="F51" s="123">
        <v>0</v>
      </c>
      <c r="G51" s="124">
        <v>0</v>
      </c>
      <c r="H51" s="281">
        <v>0</v>
      </c>
      <c r="I51" s="281">
        <v>0</v>
      </c>
      <c r="J51" s="125">
        <v>0</v>
      </c>
    </row>
    <row r="52" spans="1:10" outlineLevel="2" x14ac:dyDescent="0.3">
      <c r="A52" s="766"/>
      <c r="B52" s="767"/>
      <c r="C52" s="767"/>
      <c r="D52" s="69" t="s">
        <v>31</v>
      </c>
      <c r="E52" s="73">
        <f t="shared" si="4"/>
        <v>0</v>
      </c>
      <c r="F52" s="123">
        <v>0</v>
      </c>
      <c r="G52" s="124">
        <v>0</v>
      </c>
      <c r="H52" s="281">
        <v>0</v>
      </c>
      <c r="I52" s="281">
        <v>0</v>
      </c>
      <c r="J52" s="125">
        <v>0</v>
      </c>
    </row>
    <row r="53" spans="1:10" outlineLevel="2" x14ac:dyDescent="0.3">
      <c r="A53" s="766"/>
      <c r="B53" s="767"/>
      <c r="C53" s="767"/>
      <c r="D53" s="69" t="s">
        <v>32</v>
      </c>
      <c r="E53" s="73">
        <f t="shared" si="4"/>
        <v>0</v>
      </c>
      <c r="F53" s="123">
        <v>0</v>
      </c>
      <c r="G53" s="124">
        <v>0</v>
      </c>
      <c r="H53" s="281">
        <v>0</v>
      </c>
      <c r="I53" s="281">
        <v>0</v>
      </c>
      <c r="J53" s="125">
        <v>0</v>
      </c>
    </row>
    <row r="54" spans="1:10" outlineLevel="2" x14ac:dyDescent="0.3">
      <c r="A54" s="766"/>
      <c r="B54" s="767"/>
      <c r="C54" s="767"/>
      <c r="D54" s="69" t="s">
        <v>33</v>
      </c>
      <c r="E54" s="73">
        <f t="shared" si="4"/>
        <v>0</v>
      </c>
      <c r="F54" s="123">
        <v>0</v>
      </c>
      <c r="G54" s="124">
        <v>0</v>
      </c>
      <c r="H54" s="281">
        <v>0</v>
      </c>
      <c r="I54" s="281">
        <v>0</v>
      </c>
      <c r="J54" s="125">
        <v>0</v>
      </c>
    </row>
    <row r="55" spans="1:10" ht="15" outlineLevel="2" thickBot="1" x14ac:dyDescent="0.35">
      <c r="A55" s="766"/>
      <c r="B55" s="767"/>
      <c r="C55" s="767"/>
      <c r="D55" s="69" t="s">
        <v>34</v>
      </c>
      <c r="E55" s="74">
        <f t="shared" si="4"/>
        <v>0</v>
      </c>
      <c r="F55" s="126">
        <v>0</v>
      </c>
      <c r="G55" s="127">
        <v>0</v>
      </c>
      <c r="H55" s="282">
        <v>0</v>
      </c>
      <c r="I55" s="282">
        <v>0</v>
      </c>
      <c r="J55" s="128">
        <v>0</v>
      </c>
    </row>
    <row r="56" spans="1:10" ht="15" thickBot="1" x14ac:dyDescent="0.35">
      <c r="A56" s="764" t="s">
        <v>81</v>
      </c>
      <c r="B56" s="765"/>
      <c r="C56" s="765"/>
      <c r="D56" s="82"/>
      <c r="E56" s="78">
        <f t="shared" ref="E56:J56" si="5">E57+E78</f>
        <v>196914.1</v>
      </c>
      <c r="F56" s="79">
        <f t="shared" si="5"/>
        <v>196914.1</v>
      </c>
      <c r="G56" s="79">
        <f t="shared" si="5"/>
        <v>0</v>
      </c>
      <c r="H56" s="275">
        <f t="shared" si="5"/>
        <v>0</v>
      </c>
      <c r="I56" s="275">
        <f t="shared" si="5"/>
        <v>0</v>
      </c>
      <c r="J56" s="80">
        <f t="shared" si="5"/>
        <v>0</v>
      </c>
    </row>
    <row r="57" spans="1:10" ht="15" outlineLevel="1" thickBot="1" x14ac:dyDescent="0.35">
      <c r="A57" s="17" t="s">
        <v>108</v>
      </c>
      <c r="B57" s="17"/>
      <c r="C57" s="17"/>
      <c r="D57" s="28"/>
      <c r="E57" s="138">
        <f t="shared" ref="E57:J57" si="6">SUM(E58:E77)</f>
        <v>60145.600000000013</v>
      </c>
      <c r="F57" s="139">
        <f t="shared" si="6"/>
        <v>60145.600000000013</v>
      </c>
      <c r="G57" s="139">
        <f t="shared" si="6"/>
        <v>0</v>
      </c>
      <c r="H57" s="283">
        <f t="shared" si="6"/>
        <v>0</v>
      </c>
      <c r="I57" s="283">
        <f t="shared" si="6"/>
        <v>0</v>
      </c>
      <c r="J57" s="36">
        <f t="shared" si="6"/>
        <v>0</v>
      </c>
    </row>
    <row r="58" spans="1:10" outlineLevel="2" x14ac:dyDescent="0.3">
      <c r="A58" s="766" t="s">
        <v>82</v>
      </c>
      <c r="B58" s="767" t="s">
        <v>83</v>
      </c>
      <c r="C58" s="767">
        <v>635009</v>
      </c>
      <c r="D58" s="68" t="s">
        <v>25</v>
      </c>
      <c r="E58" s="65">
        <f t="shared" ref="E58:E77" si="7">SUM(F58:J58)</f>
        <v>16238</v>
      </c>
      <c r="F58" s="129">
        <f>'TCO AS IS - SW'!E5</f>
        <v>16238</v>
      </c>
      <c r="G58" s="130">
        <v>0</v>
      </c>
      <c r="H58" s="276"/>
      <c r="I58" s="276">
        <v>0</v>
      </c>
      <c r="J58" s="135">
        <v>0</v>
      </c>
    </row>
    <row r="59" spans="1:10" outlineLevel="2" x14ac:dyDescent="0.3">
      <c r="A59" s="766"/>
      <c r="B59" s="767"/>
      <c r="C59" s="767"/>
      <c r="D59" s="69" t="s">
        <v>26</v>
      </c>
      <c r="E59" s="66">
        <f t="shared" si="7"/>
        <v>12044.4</v>
      </c>
      <c r="F59" s="131">
        <f>(F5*0.1)+'TCO AS IS - SW'!E6</f>
        <v>12044.4</v>
      </c>
      <c r="G59" s="132">
        <v>0</v>
      </c>
      <c r="H59" s="277"/>
      <c r="I59" s="277">
        <v>0</v>
      </c>
      <c r="J59" s="136">
        <v>0</v>
      </c>
    </row>
    <row r="60" spans="1:10" outlineLevel="2" x14ac:dyDescent="0.3">
      <c r="A60" s="766"/>
      <c r="B60" s="767"/>
      <c r="C60" s="767"/>
      <c r="D60" s="69" t="s">
        <v>27</v>
      </c>
      <c r="E60" s="66">
        <f t="shared" si="7"/>
        <v>7220.4</v>
      </c>
      <c r="F60" s="131">
        <f>(F5*0.1)+'TCO AS IS - SW'!E7</f>
        <v>7220.4</v>
      </c>
      <c r="G60" s="132">
        <v>0</v>
      </c>
      <c r="H60" s="277"/>
      <c r="I60" s="277">
        <v>0</v>
      </c>
      <c r="J60" s="136">
        <v>0</v>
      </c>
    </row>
    <row r="61" spans="1:10" outlineLevel="2" x14ac:dyDescent="0.3">
      <c r="A61" s="766"/>
      <c r="B61" s="767"/>
      <c r="C61" s="767"/>
      <c r="D61" s="69" t="s">
        <v>28</v>
      </c>
      <c r="E61" s="66">
        <f t="shared" si="7"/>
        <v>6520.4</v>
      </c>
      <c r="F61" s="131">
        <f>(F5*0.1)+'TCO AS IS - SW'!E8</f>
        <v>6520.4</v>
      </c>
      <c r="G61" s="132">
        <v>0</v>
      </c>
      <c r="H61" s="277"/>
      <c r="I61" s="277">
        <v>0</v>
      </c>
      <c r="J61" s="136">
        <v>0</v>
      </c>
    </row>
    <row r="62" spans="1:10" outlineLevel="2" x14ac:dyDescent="0.3">
      <c r="A62" s="766"/>
      <c r="B62" s="767"/>
      <c r="C62" s="767"/>
      <c r="D62" s="69" t="s">
        <v>29</v>
      </c>
      <c r="E62" s="66">
        <f t="shared" si="7"/>
        <v>3020.4</v>
      </c>
      <c r="F62" s="131">
        <f>F5*0.1</f>
        <v>3020.4</v>
      </c>
      <c r="G62" s="132">
        <v>0</v>
      </c>
      <c r="H62" s="277"/>
      <c r="I62" s="277">
        <v>0</v>
      </c>
      <c r="J62" s="136">
        <v>0</v>
      </c>
    </row>
    <row r="63" spans="1:10" outlineLevel="2" x14ac:dyDescent="0.3">
      <c r="A63" s="766"/>
      <c r="B63" s="767"/>
      <c r="C63" s="767"/>
      <c r="D63" s="69" t="s">
        <v>30</v>
      </c>
      <c r="E63" s="66">
        <f t="shared" si="7"/>
        <v>3020.4</v>
      </c>
      <c r="F63" s="131">
        <f>F62</f>
        <v>3020.4</v>
      </c>
      <c r="G63" s="132">
        <v>0</v>
      </c>
      <c r="H63" s="277"/>
      <c r="I63" s="277">
        <v>0</v>
      </c>
      <c r="J63" s="136">
        <v>0</v>
      </c>
    </row>
    <row r="64" spans="1:10" outlineLevel="2" x14ac:dyDescent="0.3">
      <c r="A64" s="766"/>
      <c r="B64" s="767"/>
      <c r="C64" s="767"/>
      <c r="D64" s="69" t="s">
        <v>31</v>
      </c>
      <c r="E64" s="66">
        <f t="shared" si="7"/>
        <v>3020.4</v>
      </c>
      <c r="F64" s="131">
        <f>F62</f>
        <v>3020.4</v>
      </c>
      <c r="G64" s="132">
        <v>0</v>
      </c>
      <c r="H64" s="277"/>
      <c r="I64" s="277">
        <v>0</v>
      </c>
      <c r="J64" s="136">
        <v>0</v>
      </c>
    </row>
    <row r="65" spans="1:10" outlineLevel="2" x14ac:dyDescent="0.3">
      <c r="A65" s="766"/>
      <c r="B65" s="767"/>
      <c r="C65" s="767"/>
      <c r="D65" s="69" t="s">
        <v>32</v>
      </c>
      <c r="E65" s="66">
        <f t="shared" si="7"/>
        <v>3020.4</v>
      </c>
      <c r="F65" s="131">
        <f>F62</f>
        <v>3020.4</v>
      </c>
      <c r="G65" s="132">
        <v>0</v>
      </c>
      <c r="H65" s="277"/>
      <c r="I65" s="277">
        <v>0</v>
      </c>
      <c r="J65" s="136">
        <v>0</v>
      </c>
    </row>
    <row r="66" spans="1:10" outlineLevel="2" x14ac:dyDescent="0.3">
      <c r="A66" s="766"/>
      <c r="B66" s="767"/>
      <c r="C66" s="767"/>
      <c r="D66" s="69" t="s">
        <v>33</v>
      </c>
      <c r="E66" s="66">
        <f t="shared" si="7"/>
        <v>3020.4</v>
      </c>
      <c r="F66" s="131">
        <f>F62</f>
        <v>3020.4</v>
      </c>
      <c r="G66" s="132">
        <v>0</v>
      </c>
      <c r="H66" s="277"/>
      <c r="I66" s="277">
        <v>0</v>
      </c>
      <c r="J66" s="136">
        <v>0</v>
      </c>
    </row>
    <row r="67" spans="1:10" ht="15" outlineLevel="2" thickBot="1" x14ac:dyDescent="0.35">
      <c r="A67" s="766"/>
      <c r="B67" s="767"/>
      <c r="C67" s="767"/>
      <c r="D67" s="70" t="s">
        <v>34</v>
      </c>
      <c r="E67" s="67">
        <f t="shared" si="7"/>
        <v>3020.4</v>
      </c>
      <c r="F67" s="133">
        <f>F62</f>
        <v>3020.4</v>
      </c>
      <c r="G67" s="134">
        <v>0</v>
      </c>
      <c r="H67" s="278"/>
      <c r="I67" s="278">
        <v>0</v>
      </c>
      <c r="J67" s="137">
        <v>0</v>
      </c>
    </row>
    <row r="68" spans="1:10" outlineLevel="2" x14ac:dyDescent="0.3">
      <c r="A68" s="766" t="s">
        <v>84</v>
      </c>
      <c r="B68" s="767" t="s">
        <v>75</v>
      </c>
      <c r="C68" s="767">
        <v>718006</v>
      </c>
      <c r="D68" s="68" t="s">
        <v>25</v>
      </c>
      <c r="E68" s="66">
        <f t="shared" si="7"/>
        <v>0</v>
      </c>
      <c r="F68" s="129">
        <v>0</v>
      </c>
      <c r="G68" s="130">
        <v>0</v>
      </c>
      <c r="H68" s="276">
        <v>0</v>
      </c>
      <c r="I68" s="276">
        <v>0</v>
      </c>
      <c r="J68" s="135">
        <v>0</v>
      </c>
    </row>
    <row r="69" spans="1:10" outlineLevel="2" x14ac:dyDescent="0.3">
      <c r="A69" s="766"/>
      <c r="B69" s="767"/>
      <c r="C69" s="767"/>
      <c r="D69" s="69" t="s">
        <v>26</v>
      </c>
      <c r="E69" s="66">
        <f t="shared" si="7"/>
        <v>0</v>
      </c>
      <c r="F69" s="131">
        <v>0</v>
      </c>
      <c r="G69" s="132">
        <v>0</v>
      </c>
      <c r="H69" s="277">
        <v>0</v>
      </c>
      <c r="I69" s="277">
        <v>0</v>
      </c>
      <c r="J69" s="136">
        <v>0</v>
      </c>
    </row>
    <row r="70" spans="1:10" outlineLevel="2" x14ac:dyDescent="0.3">
      <c r="A70" s="766"/>
      <c r="B70" s="767"/>
      <c r="C70" s="767"/>
      <c r="D70" s="69" t="s">
        <v>27</v>
      </c>
      <c r="E70" s="66">
        <f t="shared" si="7"/>
        <v>0</v>
      </c>
      <c r="F70" s="131">
        <v>0</v>
      </c>
      <c r="G70" s="132">
        <v>0</v>
      </c>
      <c r="H70" s="277">
        <v>0</v>
      </c>
      <c r="I70" s="277">
        <v>0</v>
      </c>
      <c r="J70" s="136">
        <v>0</v>
      </c>
    </row>
    <row r="71" spans="1:10" outlineLevel="2" x14ac:dyDescent="0.3">
      <c r="A71" s="766"/>
      <c r="B71" s="767"/>
      <c r="C71" s="767"/>
      <c r="D71" s="69" t="s">
        <v>28</v>
      </c>
      <c r="E71" s="66">
        <f t="shared" si="7"/>
        <v>0</v>
      </c>
      <c r="F71" s="131">
        <v>0</v>
      </c>
      <c r="G71" s="132">
        <v>0</v>
      </c>
      <c r="H71" s="277">
        <v>0</v>
      </c>
      <c r="I71" s="277">
        <v>0</v>
      </c>
      <c r="J71" s="136">
        <v>0</v>
      </c>
    </row>
    <row r="72" spans="1:10" outlineLevel="2" x14ac:dyDescent="0.3">
      <c r="A72" s="766"/>
      <c r="B72" s="767"/>
      <c r="C72" s="767"/>
      <c r="D72" s="69" t="s">
        <v>29</v>
      </c>
      <c r="E72" s="66">
        <f t="shared" si="7"/>
        <v>0</v>
      </c>
      <c r="F72" s="131">
        <v>0</v>
      </c>
      <c r="G72" s="132">
        <v>0</v>
      </c>
      <c r="H72" s="277">
        <v>0</v>
      </c>
      <c r="I72" s="277">
        <v>0</v>
      </c>
      <c r="J72" s="136">
        <v>0</v>
      </c>
    </row>
    <row r="73" spans="1:10" outlineLevel="2" x14ac:dyDescent="0.3">
      <c r="A73" s="766"/>
      <c r="B73" s="767"/>
      <c r="C73" s="767"/>
      <c r="D73" s="69" t="s">
        <v>30</v>
      </c>
      <c r="E73" s="66">
        <f t="shared" si="7"/>
        <v>0</v>
      </c>
      <c r="F73" s="131">
        <v>0</v>
      </c>
      <c r="G73" s="132">
        <v>0</v>
      </c>
      <c r="H73" s="277">
        <v>0</v>
      </c>
      <c r="I73" s="277">
        <v>0</v>
      </c>
      <c r="J73" s="136">
        <v>0</v>
      </c>
    </row>
    <row r="74" spans="1:10" outlineLevel="2" x14ac:dyDescent="0.3">
      <c r="A74" s="766"/>
      <c r="B74" s="767"/>
      <c r="C74" s="767"/>
      <c r="D74" s="69" t="s">
        <v>31</v>
      </c>
      <c r="E74" s="66">
        <f t="shared" si="7"/>
        <v>0</v>
      </c>
      <c r="F74" s="131">
        <v>0</v>
      </c>
      <c r="G74" s="132">
        <v>0</v>
      </c>
      <c r="H74" s="277">
        <v>0</v>
      </c>
      <c r="I74" s="277">
        <v>0</v>
      </c>
      <c r="J74" s="136">
        <v>0</v>
      </c>
    </row>
    <row r="75" spans="1:10" outlineLevel="2" x14ac:dyDescent="0.3">
      <c r="A75" s="766"/>
      <c r="B75" s="767"/>
      <c r="C75" s="767"/>
      <c r="D75" s="69" t="s">
        <v>32</v>
      </c>
      <c r="E75" s="66">
        <f t="shared" si="7"/>
        <v>0</v>
      </c>
      <c r="F75" s="131">
        <v>0</v>
      </c>
      <c r="G75" s="132">
        <v>0</v>
      </c>
      <c r="H75" s="277">
        <v>0</v>
      </c>
      <c r="I75" s="277">
        <v>0</v>
      </c>
      <c r="J75" s="136">
        <v>0</v>
      </c>
    </row>
    <row r="76" spans="1:10" outlineLevel="2" x14ac:dyDescent="0.3">
      <c r="A76" s="766"/>
      <c r="B76" s="767"/>
      <c r="C76" s="767"/>
      <c r="D76" s="69" t="s">
        <v>33</v>
      </c>
      <c r="E76" s="66">
        <f t="shared" si="7"/>
        <v>0</v>
      </c>
      <c r="F76" s="131">
        <v>0</v>
      </c>
      <c r="G76" s="132">
        <v>0</v>
      </c>
      <c r="H76" s="277">
        <v>0</v>
      </c>
      <c r="I76" s="277">
        <v>0</v>
      </c>
      <c r="J76" s="136">
        <v>0</v>
      </c>
    </row>
    <row r="77" spans="1:10" ht="15" outlineLevel="2" thickBot="1" x14ac:dyDescent="0.35">
      <c r="A77" s="766"/>
      <c r="B77" s="767"/>
      <c r="C77" s="767"/>
      <c r="D77" s="70" t="s">
        <v>34</v>
      </c>
      <c r="E77" s="67">
        <f t="shared" si="7"/>
        <v>0</v>
      </c>
      <c r="F77" s="133">
        <v>0</v>
      </c>
      <c r="G77" s="134">
        <v>0</v>
      </c>
      <c r="H77" s="278">
        <v>0</v>
      </c>
      <c r="I77" s="278">
        <v>0</v>
      </c>
      <c r="J77" s="137">
        <v>0</v>
      </c>
    </row>
    <row r="78" spans="1:10" ht="15" outlineLevel="1" thickBot="1" x14ac:dyDescent="0.35">
      <c r="A78" s="17" t="s">
        <v>109</v>
      </c>
      <c r="B78" s="17"/>
      <c r="C78" s="17"/>
      <c r="D78" s="28"/>
      <c r="E78" s="140">
        <f t="shared" ref="E78:J78" si="8">SUM(E79:E128)</f>
        <v>136768.5</v>
      </c>
      <c r="F78" s="141">
        <f t="shared" si="8"/>
        <v>136768.5</v>
      </c>
      <c r="G78" s="141">
        <f t="shared" si="8"/>
        <v>0</v>
      </c>
      <c r="H78" s="284">
        <f t="shared" si="8"/>
        <v>0</v>
      </c>
      <c r="I78" s="284">
        <f t="shared" si="8"/>
        <v>0</v>
      </c>
      <c r="J78" s="142">
        <f t="shared" si="8"/>
        <v>0</v>
      </c>
    </row>
    <row r="79" spans="1:10" outlineLevel="2" x14ac:dyDescent="0.3">
      <c r="A79" s="766" t="s">
        <v>85</v>
      </c>
      <c r="B79" s="767" t="s">
        <v>83</v>
      </c>
      <c r="C79" s="767">
        <v>635009</v>
      </c>
      <c r="D79" s="68" t="s">
        <v>25</v>
      </c>
      <c r="E79" s="72">
        <f t="shared" ref="E79:E128" si="9">SUM(F79:J79)</f>
        <v>0</v>
      </c>
      <c r="F79" s="120">
        <v>0</v>
      </c>
      <c r="G79" s="121">
        <v>0</v>
      </c>
      <c r="H79" s="280">
        <v>0</v>
      </c>
      <c r="I79" s="280">
        <v>0</v>
      </c>
      <c r="J79" s="122">
        <v>0</v>
      </c>
    </row>
    <row r="80" spans="1:10" outlineLevel="2" x14ac:dyDescent="0.3">
      <c r="A80" s="766"/>
      <c r="B80" s="767"/>
      <c r="C80" s="767"/>
      <c r="D80" s="69" t="s">
        <v>26</v>
      </c>
      <c r="E80" s="73">
        <f t="shared" si="9"/>
        <v>7598.25</v>
      </c>
      <c r="F80" s="123">
        <f>F26*0.05</f>
        <v>7598.25</v>
      </c>
      <c r="G80" s="124"/>
      <c r="H80" s="281"/>
      <c r="I80" s="281">
        <v>0</v>
      </c>
      <c r="J80" s="125">
        <v>0</v>
      </c>
    </row>
    <row r="81" spans="1:10" outlineLevel="2" x14ac:dyDescent="0.3">
      <c r="A81" s="766"/>
      <c r="B81" s="767"/>
      <c r="C81" s="767"/>
      <c r="D81" s="69" t="s">
        <v>27</v>
      </c>
      <c r="E81" s="73">
        <f t="shared" si="9"/>
        <v>7598.25</v>
      </c>
      <c r="F81" s="123">
        <f>F80</f>
        <v>7598.25</v>
      </c>
      <c r="G81" s="124"/>
      <c r="H81" s="281"/>
      <c r="I81" s="281">
        <v>0</v>
      </c>
      <c r="J81" s="125">
        <v>0</v>
      </c>
    </row>
    <row r="82" spans="1:10" outlineLevel="2" x14ac:dyDescent="0.3">
      <c r="A82" s="766"/>
      <c r="B82" s="767"/>
      <c r="C82" s="767"/>
      <c r="D82" s="69" t="s">
        <v>28</v>
      </c>
      <c r="E82" s="73">
        <f t="shared" si="9"/>
        <v>7598.25</v>
      </c>
      <c r="F82" s="123">
        <f>F80</f>
        <v>7598.25</v>
      </c>
      <c r="G82" s="124"/>
      <c r="H82" s="281"/>
      <c r="I82" s="281">
        <v>0</v>
      </c>
      <c r="J82" s="125">
        <v>0</v>
      </c>
    </row>
    <row r="83" spans="1:10" outlineLevel="2" x14ac:dyDescent="0.3">
      <c r="A83" s="766"/>
      <c r="B83" s="767"/>
      <c r="C83" s="767"/>
      <c r="D83" s="69" t="s">
        <v>29</v>
      </c>
      <c r="E83" s="73">
        <f t="shared" si="9"/>
        <v>7598.25</v>
      </c>
      <c r="F83" s="123">
        <f>F80</f>
        <v>7598.25</v>
      </c>
      <c r="G83" s="124"/>
      <c r="H83" s="281"/>
      <c r="I83" s="281">
        <v>0</v>
      </c>
      <c r="J83" s="125">
        <v>0</v>
      </c>
    </row>
    <row r="84" spans="1:10" outlineLevel="2" x14ac:dyDescent="0.3">
      <c r="A84" s="766"/>
      <c r="B84" s="767"/>
      <c r="C84" s="767"/>
      <c r="D84" s="69" t="s">
        <v>30</v>
      </c>
      <c r="E84" s="73">
        <f t="shared" si="9"/>
        <v>7598.25</v>
      </c>
      <c r="F84" s="123">
        <f>F80</f>
        <v>7598.25</v>
      </c>
      <c r="G84" s="124"/>
      <c r="H84" s="281"/>
      <c r="I84" s="281">
        <v>0</v>
      </c>
      <c r="J84" s="125">
        <v>0</v>
      </c>
    </row>
    <row r="85" spans="1:10" outlineLevel="2" x14ac:dyDescent="0.3">
      <c r="A85" s="766"/>
      <c r="B85" s="767"/>
      <c r="C85" s="767"/>
      <c r="D85" s="69" t="s">
        <v>31</v>
      </c>
      <c r="E85" s="73">
        <f t="shared" si="9"/>
        <v>7598.25</v>
      </c>
      <c r="F85" s="123">
        <f>F80</f>
        <v>7598.25</v>
      </c>
      <c r="G85" s="124"/>
      <c r="H85" s="281"/>
      <c r="I85" s="281">
        <v>0</v>
      </c>
      <c r="J85" s="125">
        <v>0</v>
      </c>
    </row>
    <row r="86" spans="1:10" outlineLevel="2" x14ac:dyDescent="0.3">
      <c r="A86" s="766"/>
      <c r="B86" s="767"/>
      <c r="C86" s="767"/>
      <c r="D86" s="69" t="s">
        <v>32</v>
      </c>
      <c r="E86" s="73">
        <f t="shared" si="9"/>
        <v>7598.25</v>
      </c>
      <c r="F86" s="123">
        <f>F80</f>
        <v>7598.25</v>
      </c>
      <c r="G86" s="124"/>
      <c r="H86" s="281"/>
      <c r="I86" s="281">
        <v>0</v>
      </c>
      <c r="J86" s="125">
        <v>0</v>
      </c>
    </row>
    <row r="87" spans="1:10" outlineLevel="2" x14ac:dyDescent="0.3">
      <c r="A87" s="766"/>
      <c r="B87" s="767"/>
      <c r="C87" s="767"/>
      <c r="D87" s="69" t="s">
        <v>33</v>
      </c>
      <c r="E87" s="73">
        <f t="shared" si="9"/>
        <v>7598.25</v>
      </c>
      <c r="F87" s="123">
        <f>F80</f>
        <v>7598.25</v>
      </c>
      <c r="G87" s="124"/>
      <c r="H87" s="281"/>
      <c r="I87" s="281">
        <v>0</v>
      </c>
      <c r="J87" s="125">
        <v>0</v>
      </c>
    </row>
    <row r="88" spans="1:10" ht="15" outlineLevel="2" thickBot="1" x14ac:dyDescent="0.35">
      <c r="A88" s="766"/>
      <c r="B88" s="767"/>
      <c r="C88" s="767"/>
      <c r="D88" s="70" t="s">
        <v>34</v>
      </c>
      <c r="E88" s="74">
        <f t="shared" si="9"/>
        <v>7598.25</v>
      </c>
      <c r="F88" s="126">
        <f>F80</f>
        <v>7598.25</v>
      </c>
      <c r="G88" s="127"/>
      <c r="H88" s="282"/>
      <c r="I88" s="282">
        <v>0</v>
      </c>
      <c r="J88" s="128">
        <v>0</v>
      </c>
    </row>
    <row r="89" spans="1:10" outlineLevel="2" x14ac:dyDescent="0.3">
      <c r="A89" s="766" t="s">
        <v>86</v>
      </c>
      <c r="B89" s="767" t="s">
        <v>80</v>
      </c>
      <c r="C89" s="767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280">
        <v>0</v>
      </c>
      <c r="I89" s="280">
        <v>0</v>
      </c>
      <c r="J89" s="122">
        <v>0</v>
      </c>
    </row>
    <row r="90" spans="1:10" outlineLevel="2" x14ac:dyDescent="0.3">
      <c r="A90" s="766"/>
      <c r="B90" s="767"/>
      <c r="C90" s="767"/>
      <c r="D90" s="69" t="s">
        <v>26</v>
      </c>
      <c r="E90" s="73">
        <f t="shared" si="9"/>
        <v>0</v>
      </c>
      <c r="F90" s="123">
        <v>0</v>
      </c>
      <c r="G90" s="124">
        <v>0</v>
      </c>
      <c r="H90" s="281">
        <v>0</v>
      </c>
      <c r="I90" s="281">
        <v>0</v>
      </c>
      <c r="J90" s="125">
        <v>0</v>
      </c>
    </row>
    <row r="91" spans="1:10" outlineLevel="2" x14ac:dyDescent="0.3">
      <c r="A91" s="766"/>
      <c r="B91" s="767"/>
      <c r="C91" s="767"/>
      <c r="D91" s="69" t="s">
        <v>27</v>
      </c>
      <c r="E91" s="73">
        <f t="shared" si="9"/>
        <v>0</v>
      </c>
      <c r="F91" s="123">
        <v>0</v>
      </c>
      <c r="G91" s="124">
        <v>0</v>
      </c>
      <c r="H91" s="281">
        <v>0</v>
      </c>
      <c r="I91" s="281">
        <v>0</v>
      </c>
      <c r="J91" s="125">
        <v>0</v>
      </c>
    </row>
    <row r="92" spans="1:10" outlineLevel="2" x14ac:dyDescent="0.3">
      <c r="A92" s="766"/>
      <c r="B92" s="767"/>
      <c r="C92" s="767"/>
      <c r="D92" s="69" t="s">
        <v>28</v>
      </c>
      <c r="E92" s="73">
        <f t="shared" si="9"/>
        <v>0</v>
      </c>
      <c r="F92" s="123">
        <v>0</v>
      </c>
      <c r="G92" s="124">
        <v>0</v>
      </c>
      <c r="H92" s="281">
        <v>0</v>
      </c>
      <c r="I92" s="281">
        <v>0</v>
      </c>
      <c r="J92" s="125">
        <v>0</v>
      </c>
    </row>
    <row r="93" spans="1:10" outlineLevel="2" x14ac:dyDescent="0.3">
      <c r="A93" s="766"/>
      <c r="B93" s="767"/>
      <c r="C93" s="767"/>
      <c r="D93" s="69" t="s">
        <v>29</v>
      </c>
      <c r="E93" s="73">
        <f t="shared" si="9"/>
        <v>0</v>
      </c>
      <c r="F93" s="123">
        <v>0</v>
      </c>
      <c r="G93" s="124">
        <v>0</v>
      </c>
      <c r="H93" s="281">
        <v>0</v>
      </c>
      <c r="I93" s="281">
        <v>0</v>
      </c>
      <c r="J93" s="125">
        <v>0</v>
      </c>
    </row>
    <row r="94" spans="1:10" outlineLevel="2" x14ac:dyDescent="0.3">
      <c r="A94" s="766"/>
      <c r="B94" s="767"/>
      <c r="C94" s="767"/>
      <c r="D94" s="69" t="s">
        <v>30</v>
      </c>
      <c r="E94" s="73">
        <f t="shared" si="9"/>
        <v>0</v>
      </c>
      <c r="F94" s="123">
        <v>0</v>
      </c>
      <c r="G94" s="124">
        <v>0</v>
      </c>
      <c r="H94" s="281">
        <v>0</v>
      </c>
      <c r="I94" s="281">
        <v>0</v>
      </c>
      <c r="J94" s="125">
        <v>0</v>
      </c>
    </row>
    <row r="95" spans="1:10" outlineLevel="2" x14ac:dyDescent="0.3">
      <c r="A95" s="766"/>
      <c r="B95" s="767"/>
      <c r="C95" s="767"/>
      <c r="D95" s="69" t="s">
        <v>31</v>
      </c>
      <c r="E95" s="73">
        <f t="shared" si="9"/>
        <v>0</v>
      </c>
      <c r="F95" s="123">
        <v>0</v>
      </c>
      <c r="G95" s="124">
        <v>0</v>
      </c>
      <c r="H95" s="281">
        <v>0</v>
      </c>
      <c r="I95" s="281">
        <v>0</v>
      </c>
      <c r="J95" s="125">
        <v>0</v>
      </c>
    </row>
    <row r="96" spans="1:10" outlineLevel="2" x14ac:dyDescent="0.3">
      <c r="A96" s="766"/>
      <c r="B96" s="767"/>
      <c r="C96" s="767"/>
      <c r="D96" s="69" t="s">
        <v>32</v>
      </c>
      <c r="E96" s="73">
        <f t="shared" si="9"/>
        <v>0</v>
      </c>
      <c r="F96" s="123">
        <v>0</v>
      </c>
      <c r="G96" s="124">
        <v>0</v>
      </c>
      <c r="H96" s="281">
        <v>0</v>
      </c>
      <c r="I96" s="281">
        <v>0</v>
      </c>
      <c r="J96" s="125">
        <v>0</v>
      </c>
    </row>
    <row r="97" spans="1:10" outlineLevel="2" x14ac:dyDescent="0.3">
      <c r="A97" s="766"/>
      <c r="B97" s="767"/>
      <c r="C97" s="767"/>
      <c r="D97" s="69" t="s">
        <v>33</v>
      </c>
      <c r="E97" s="73">
        <f t="shared" si="9"/>
        <v>0</v>
      </c>
      <c r="F97" s="123">
        <v>0</v>
      </c>
      <c r="G97" s="124">
        <v>0</v>
      </c>
      <c r="H97" s="281">
        <v>0</v>
      </c>
      <c r="I97" s="281">
        <v>0</v>
      </c>
      <c r="J97" s="125">
        <v>0</v>
      </c>
    </row>
    <row r="98" spans="1:10" ht="15" outlineLevel="2" thickBot="1" x14ac:dyDescent="0.35">
      <c r="A98" s="766"/>
      <c r="B98" s="767"/>
      <c r="C98" s="767"/>
      <c r="D98" s="70" t="s">
        <v>34</v>
      </c>
      <c r="E98" s="74">
        <f t="shared" si="9"/>
        <v>0</v>
      </c>
      <c r="F98" s="126">
        <v>0</v>
      </c>
      <c r="G98" s="127">
        <v>0</v>
      </c>
      <c r="H98" s="282">
        <v>0</v>
      </c>
      <c r="I98" s="282">
        <v>0</v>
      </c>
      <c r="J98" s="128">
        <v>0</v>
      </c>
    </row>
    <row r="99" spans="1:10" outlineLevel="2" x14ac:dyDescent="0.3">
      <c r="A99" s="766" t="s">
        <v>87</v>
      </c>
      <c r="B99" s="767" t="s">
        <v>75</v>
      </c>
      <c r="C99" s="767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280">
        <v>0</v>
      </c>
      <c r="I99" s="280">
        <v>0</v>
      </c>
      <c r="J99" s="122">
        <v>0</v>
      </c>
    </row>
    <row r="100" spans="1:10" outlineLevel="2" x14ac:dyDescent="0.3">
      <c r="A100" s="766"/>
      <c r="B100" s="767"/>
      <c r="C100" s="767"/>
      <c r="D100" s="69" t="s">
        <v>26</v>
      </c>
      <c r="E100" s="73">
        <f t="shared" si="9"/>
        <v>7598.25</v>
      </c>
      <c r="F100" s="123">
        <f>F26*0.05</f>
        <v>7598.25</v>
      </c>
      <c r="G100" s="124">
        <v>0</v>
      </c>
      <c r="H100" s="281">
        <v>0</v>
      </c>
      <c r="I100" s="281">
        <v>0</v>
      </c>
      <c r="J100" s="125">
        <v>0</v>
      </c>
    </row>
    <row r="101" spans="1:10" outlineLevel="2" x14ac:dyDescent="0.3">
      <c r="A101" s="766"/>
      <c r="B101" s="767"/>
      <c r="C101" s="767"/>
      <c r="D101" s="69" t="s">
        <v>27</v>
      </c>
      <c r="E101" s="73">
        <f t="shared" si="9"/>
        <v>7598.25</v>
      </c>
      <c r="F101" s="123">
        <f>F100</f>
        <v>7598.25</v>
      </c>
      <c r="G101" s="124">
        <v>0</v>
      </c>
      <c r="H101" s="281">
        <v>0</v>
      </c>
      <c r="I101" s="281">
        <v>0</v>
      </c>
      <c r="J101" s="125">
        <v>0</v>
      </c>
    </row>
    <row r="102" spans="1:10" outlineLevel="2" x14ac:dyDescent="0.3">
      <c r="A102" s="766"/>
      <c r="B102" s="767"/>
      <c r="C102" s="767"/>
      <c r="D102" s="69" t="s">
        <v>28</v>
      </c>
      <c r="E102" s="73">
        <f t="shared" si="9"/>
        <v>7598.25</v>
      </c>
      <c r="F102" s="123">
        <f>F100</f>
        <v>7598.25</v>
      </c>
      <c r="G102" s="124">
        <v>0</v>
      </c>
      <c r="H102" s="281">
        <v>0</v>
      </c>
      <c r="I102" s="281">
        <v>0</v>
      </c>
      <c r="J102" s="125">
        <v>0</v>
      </c>
    </row>
    <row r="103" spans="1:10" outlineLevel="2" x14ac:dyDescent="0.3">
      <c r="A103" s="766"/>
      <c r="B103" s="767"/>
      <c r="C103" s="767"/>
      <c r="D103" s="69" t="s">
        <v>29</v>
      </c>
      <c r="E103" s="73">
        <f t="shared" si="9"/>
        <v>7598.25</v>
      </c>
      <c r="F103" s="123">
        <f>F100</f>
        <v>7598.25</v>
      </c>
      <c r="G103" s="124">
        <v>0</v>
      </c>
      <c r="H103" s="281">
        <v>0</v>
      </c>
      <c r="I103" s="281">
        <v>0</v>
      </c>
      <c r="J103" s="125">
        <v>0</v>
      </c>
    </row>
    <row r="104" spans="1:10" outlineLevel="2" x14ac:dyDescent="0.3">
      <c r="A104" s="766"/>
      <c r="B104" s="767"/>
      <c r="C104" s="767"/>
      <c r="D104" s="69" t="s">
        <v>30</v>
      </c>
      <c r="E104" s="73">
        <f t="shared" si="9"/>
        <v>7598.25</v>
      </c>
      <c r="F104" s="123">
        <f>F100</f>
        <v>7598.25</v>
      </c>
      <c r="G104" s="124">
        <v>0</v>
      </c>
      <c r="H104" s="281">
        <v>0</v>
      </c>
      <c r="I104" s="281">
        <v>0</v>
      </c>
      <c r="J104" s="125">
        <v>0</v>
      </c>
    </row>
    <row r="105" spans="1:10" outlineLevel="2" x14ac:dyDescent="0.3">
      <c r="A105" s="766"/>
      <c r="B105" s="767"/>
      <c r="C105" s="767"/>
      <c r="D105" s="69" t="s">
        <v>31</v>
      </c>
      <c r="E105" s="73">
        <f t="shared" si="9"/>
        <v>7598.25</v>
      </c>
      <c r="F105" s="123">
        <f>F100</f>
        <v>7598.25</v>
      </c>
      <c r="G105" s="124">
        <v>0</v>
      </c>
      <c r="H105" s="281">
        <v>0</v>
      </c>
      <c r="I105" s="281">
        <v>0</v>
      </c>
      <c r="J105" s="125">
        <v>0</v>
      </c>
    </row>
    <row r="106" spans="1:10" outlineLevel="2" x14ac:dyDescent="0.3">
      <c r="A106" s="766"/>
      <c r="B106" s="767"/>
      <c r="C106" s="767"/>
      <c r="D106" s="69" t="s">
        <v>32</v>
      </c>
      <c r="E106" s="73">
        <f t="shared" si="9"/>
        <v>7598.25</v>
      </c>
      <c r="F106" s="123">
        <f>F100</f>
        <v>7598.25</v>
      </c>
      <c r="G106" s="124">
        <v>0</v>
      </c>
      <c r="H106" s="281">
        <v>0</v>
      </c>
      <c r="I106" s="281">
        <v>0</v>
      </c>
      <c r="J106" s="125">
        <v>0</v>
      </c>
    </row>
    <row r="107" spans="1:10" outlineLevel="2" x14ac:dyDescent="0.3">
      <c r="A107" s="766"/>
      <c r="B107" s="767"/>
      <c r="C107" s="767"/>
      <c r="D107" s="69" t="s">
        <v>33</v>
      </c>
      <c r="E107" s="73">
        <f t="shared" si="9"/>
        <v>7598.25</v>
      </c>
      <c r="F107" s="123">
        <f>F100</f>
        <v>7598.25</v>
      </c>
      <c r="G107" s="124">
        <v>0</v>
      </c>
      <c r="H107" s="281">
        <v>0</v>
      </c>
      <c r="I107" s="281">
        <v>0</v>
      </c>
      <c r="J107" s="125">
        <v>0</v>
      </c>
    </row>
    <row r="108" spans="1:10" ht="15" outlineLevel="2" thickBot="1" x14ac:dyDescent="0.35">
      <c r="A108" s="766"/>
      <c r="B108" s="767"/>
      <c r="C108" s="767"/>
      <c r="D108" s="70" t="s">
        <v>34</v>
      </c>
      <c r="E108" s="74">
        <f t="shared" si="9"/>
        <v>7598.25</v>
      </c>
      <c r="F108" s="126">
        <f>F100</f>
        <v>7598.25</v>
      </c>
      <c r="G108" s="127">
        <v>0</v>
      </c>
      <c r="H108" s="282">
        <v>0</v>
      </c>
      <c r="I108" s="282">
        <v>0</v>
      </c>
      <c r="J108" s="128">
        <v>0</v>
      </c>
    </row>
    <row r="109" spans="1:10" outlineLevel="2" x14ac:dyDescent="0.3">
      <c r="A109" s="766" t="s">
        <v>88</v>
      </c>
      <c r="B109" s="767" t="s">
        <v>89</v>
      </c>
      <c r="C109" s="767">
        <v>610</v>
      </c>
      <c r="D109" s="68" t="s">
        <v>25</v>
      </c>
      <c r="E109" s="73">
        <f t="shared" si="9"/>
        <v>0</v>
      </c>
      <c r="F109" s="120">
        <v>0</v>
      </c>
      <c r="G109" s="121">
        <v>0</v>
      </c>
      <c r="H109" s="280"/>
      <c r="I109" s="280">
        <v>0</v>
      </c>
      <c r="J109" s="122">
        <v>0</v>
      </c>
    </row>
    <row r="110" spans="1:10" outlineLevel="2" x14ac:dyDescent="0.3">
      <c r="A110" s="766"/>
      <c r="B110" s="767"/>
      <c r="C110" s="767"/>
      <c r="D110" s="69" t="s">
        <v>26</v>
      </c>
      <c r="E110" s="73">
        <f t="shared" si="9"/>
        <v>0</v>
      </c>
      <c r="F110" s="123">
        <v>0</v>
      </c>
      <c r="G110" s="124">
        <v>0</v>
      </c>
      <c r="H110" s="281"/>
      <c r="I110" s="281">
        <v>0</v>
      </c>
      <c r="J110" s="125">
        <v>0</v>
      </c>
    </row>
    <row r="111" spans="1:10" outlineLevel="2" x14ac:dyDescent="0.3">
      <c r="A111" s="766"/>
      <c r="B111" s="767"/>
      <c r="C111" s="767"/>
      <c r="D111" s="69" t="s">
        <v>27</v>
      </c>
      <c r="E111" s="73">
        <f t="shared" si="9"/>
        <v>0</v>
      </c>
      <c r="F111" s="123">
        <v>0</v>
      </c>
      <c r="G111" s="124">
        <v>0</v>
      </c>
      <c r="H111" s="281"/>
      <c r="I111" s="281">
        <v>0</v>
      </c>
      <c r="J111" s="125">
        <v>0</v>
      </c>
    </row>
    <row r="112" spans="1:10" outlineLevel="2" x14ac:dyDescent="0.3">
      <c r="A112" s="766"/>
      <c r="B112" s="767"/>
      <c r="C112" s="767"/>
      <c r="D112" s="69" t="s">
        <v>28</v>
      </c>
      <c r="E112" s="73">
        <f t="shared" si="9"/>
        <v>0</v>
      </c>
      <c r="F112" s="123">
        <v>0</v>
      </c>
      <c r="G112" s="124">
        <v>0</v>
      </c>
      <c r="H112" s="281"/>
      <c r="I112" s="281">
        <v>0</v>
      </c>
      <c r="J112" s="125">
        <v>0</v>
      </c>
    </row>
    <row r="113" spans="1:10" outlineLevel="2" x14ac:dyDescent="0.3">
      <c r="A113" s="766"/>
      <c r="B113" s="767"/>
      <c r="C113" s="767"/>
      <c r="D113" s="69" t="s">
        <v>29</v>
      </c>
      <c r="E113" s="73">
        <f t="shared" si="9"/>
        <v>0</v>
      </c>
      <c r="F113" s="123">
        <v>0</v>
      </c>
      <c r="G113" s="124">
        <v>0</v>
      </c>
      <c r="H113" s="281"/>
      <c r="I113" s="281">
        <v>0</v>
      </c>
      <c r="J113" s="125">
        <v>0</v>
      </c>
    </row>
    <row r="114" spans="1:10" outlineLevel="2" x14ac:dyDescent="0.3">
      <c r="A114" s="766"/>
      <c r="B114" s="767"/>
      <c r="C114" s="767"/>
      <c r="D114" s="69" t="s">
        <v>30</v>
      </c>
      <c r="E114" s="73">
        <f t="shared" si="9"/>
        <v>0</v>
      </c>
      <c r="F114" s="123">
        <v>0</v>
      </c>
      <c r="G114" s="124">
        <v>0</v>
      </c>
      <c r="H114" s="281"/>
      <c r="I114" s="281">
        <v>0</v>
      </c>
      <c r="J114" s="125">
        <v>0</v>
      </c>
    </row>
    <row r="115" spans="1:10" outlineLevel="2" x14ac:dyDescent="0.3">
      <c r="A115" s="766"/>
      <c r="B115" s="767"/>
      <c r="C115" s="767"/>
      <c r="D115" s="69" t="s">
        <v>31</v>
      </c>
      <c r="E115" s="73">
        <f t="shared" si="9"/>
        <v>0</v>
      </c>
      <c r="F115" s="123">
        <v>0</v>
      </c>
      <c r="G115" s="124">
        <v>0</v>
      </c>
      <c r="H115" s="281"/>
      <c r="I115" s="281">
        <v>0</v>
      </c>
      <c r="J115" s="125">
        <v>0</v>
      </c>
    </row>
    <row r="116" spans="1:10" outlineLevel="2" x14ac:dyDescent="0.3">
      <c r="A116" s="766"/>
      <c r="B116" s="767"/>
      <c r="C116" s="767"/>
      <c r="D116" s="69" t="s">
        <v>32</v>
      </c>
      <c r="E116" s="73">
        <f t="shared" si="9"/>
        <v>0</v>
      </c>
      <c r="F116" s="123">
        <v>0</v>
      </c>
      <c r="G116" s="124">
        <v>0</v>
      </c>
      <c r="H116" s="281"/>
      <c r="I116" s="281">
        <v>0</v>
      </c>
      <c r="J116" s="125">
        <v>0</v>
      </c>
    </row>
    <row r="117" spans="1:10" outlineLevel="2" x14ac:dyDescent="0.3">
      <c r="A117" s="766"/>
      <c r="B117" s="767"/>
      <c r="C117" s="767"/>
      <c r="D117" s="69" t="s">
        <v>33</v>
      </c>
      <c r="E117" s="73">
        <f t="shared" si="9"/>
        <v>0</v>
      </c>
      <c r="F117" s="123">
        <v>0</v>
      </c>
      <c r="G117" s="124">
        <v>0</v>
      </c>
      <c r="H117" s="281"/>
      <c r="I117" s="281">
        <v>0</v>
      </c>
      <c r="J117" s="125">
        <v>0</v>
      </c>
    </row>
    <row r="118" spans="1:10" ht="15" outlineLevel="2" thickBot="1" x14ac:dyDescent="0.35">
      <c r="A118" s="766"/>
      <c r="B118" s="767"/>
      <c r="C118" s="767"/>
      <c r="D118" s="70" t="s">
        <v>34</v>
      </c>
      <c r="E118" s="74">
        <f t="shared" si="9"/>
        <v>0</v>
      </c>
      <c r="F118" s="126">
        <v>0</v>
      </c>
      <c r="G118" s="127">
        <v>0</v>
      </c>
      <c r="H118" s="282"/>
      <c r="I118" s="282">
        <v>0</v>
      </c>
      <c r="J118" s="128">
        <v>0</v>
      </c>
    </row>
    <row r="119" spans="1:10" outlineLevel="2" x14ac:dyDescent="0.3">
      <c r="A119" s="766" t="s">
        <v>79</v>
      </c>
      <c r="B119" s="767" t="s">
        <v>80</v>
      </c>
      <c r="C119" s="767">
        <v>637001</v>
      </c>
      <c r="D119" s="68" t="s">
        <v>25</v>
      </c>
      <c r="E119" s="73">
        <f t="shared" si="9"/>
        <v>0</v>
      </c>
      <c r="F119" s="120">
        <v>0</v>
      </c>
      <c r="G119" s="121">
        <v>0</v>
      </c>
      <c r="H119" s="280">
        <v>0</v>
      </c>
      <c r="I119" s="280">
        <v>0</v>
      </c>
      <c r="J119" s="122">
        <v>0</v>
      </c>
    </row>
    <row r="120" spans="1:10" outlineLevel="2" x14ac:dyDescent="0.3">
      <c r="A120" s="766"/>
      <c r="B120" s="767"/>
      <c r="C120" s="767"/>
      <c r="D120" s="69" t="s">
        <v>26</v>
      </c>
      <c r="E120" s="73">
        <f t="shared" si="9"/>
        <v>0</v>
      </c>
      <c r="F120" s="123">
        <v>0</v>
      </c>
      <c r="G120" s="124">
        <v>0</v>
      </c>
      <c r="H120" s="281">
        <v>0</v>
      </c>
      <c r="I120" s="281">
        <v>0</v>
      </c>
      <c r="J120" s="125">
        <v>0</v>
      </c>
    </row>
    <row r="121" spans="1:10" outlineLevel="2" x14ac:dyDescent="0.3">
      <c r="A121" s="766"/>
      <c r="B121" s="767"/>
      <c r="C121" s="767"/>
      <c r="D121" s="69" t="s">
        <v>27</v>
      </c>
      <c r="E121" s="73">
        <f t="shared" si="9"/>
        <v>0</v>
      </c>
      <c r="F121" s="123">
        <v>0</v>
      </c>
      <c r="G121" s="124">
        <v>0</v>
      </c>
      <c r="H121" s="281">
        <v>0</v>
      </c>
      <c r="I121" s="281">
        <v>0</v>
      </c>
      <c r="J121" s="125">
        <v>0</v>
      </c>
    </row>
    <row r="122" spans="1:10" outlineLevel="2" x14ac:dyDescent="0.3">
      <c r="A122" s="766"/>
      <c r="B122" s="767"/>
      <c r="C122" s="767"/>
      <c r="D122" s="69" t="s">
        <v>28</v>
      </c>
      <c r="E122" s="73">
        <f t="shared" si="9"/>
        <v>0</v>
      </c>
      <c r="F122" s="123">
        <v>0</v>
      </c>
      <c r="G122" s="124">
        <v>0</v>
      </c>
      <c r="H122" s="281">
        <v>0</v>
      </c>
      <c r="I122" s="281">
        <v>0</v>
      </c>
      <c r="J122" s="125">
        <v>0</v>
      </c>
    </row>
    <row r="123" spans="1:10" outlineLevel="2" x14ac:dyDescent="0.3">
      <c r="A123" s="766"/>
      <c r="B123" s="767"/>
      <c r="C123" s="767"/>
      <c r="D123" s="69" t="s">
        <v>29</v>
      </c>
      <c r="E123" s="73">
        <f t="shared" si="9"/>
        <v>0</v>
      </c>
      <c r="F123" s="123">
        <v>0</v>
      </c>
      <c r="G123" s="124">
        <v>0</v>
      </c>
      <c r="H123" s="281">
        <v>0</v>
      </c>
      <c r="I123" s="281">
        <v>0</v>
      </c>
      <c r="J123" s="125">
        <v>0</v>
      </c>
    </row>
    <row r="124" spans="1:10" outlineLevel="2" x14ac:dyDescent="0.3">
      <c r="A124" s="766"/>
      <c r="B124" s="767"/>
      <c r="C124" s="767"/>
      <c r="D124" s="69" t="s">
        <v>30</v>
      </c>
      <c r="E124" s="73">
        <f t="shared" si="9"/>
        <v>0</v>
      </c>
      <c r="F124" s="123">
        <v>0</v>
      </c>
      <c r="G124" s="124">
        <v>0</v>
      </c>
      <c r="H124" s="281">
        <v>0</v>
      </c>
      <c r="I124" s="281">
        <v>0</v>
      </c>
      <c r="J124" s="125">
        <v>0</v>
      </c>
    </row>
    <row r="125" spans="1:10" outlineLevel="2" x14ac:dyDescent="0.3">
      <c r="A125" s="766"/>
      <c r="B125" s="767"/>
      <c r="C125" s="767"/>
      <c r="D125" s="69" t="s">
        <v>31</v>
      </c>
      <c r="E125" s="73">
        <f t="shared" si="9"/>
        <v>0</v>
      </c>
      <c r="F125" s="123">
        <v>0</v>
      </c>
      <c r="G125" s="124">
        <v>0</v>
      </c>
      <c r="H125" s="281">
        <v>0</v>
      </c>
      <c r="I125" s="281">
        <v>0</v>
      </c>
      <c r="J125" s="125">
        <v>0</v>
      </c>
    </row>
    <row r="126" spans="1:10" outlineLevel="2" x14ac:dyDescent="0.3">
      <c r="A126" s="766"/>
      <c r="B126" s="767"/>
      <c r="C126" s="767"/>
      <c r="D126" s="69" t="s">
        <v>32</v>
      </c>
      <c r="E126" s="73">
        <f t="shared" si="9"/>
        <v>0</v>
      </c>
      <c r="F126" s="123">
        <v>0</v>
      </c>
      <c r="G126" s="124">
        <v>0</v>
      </c>
      <c r="H126" s="281">
        <v>0</v>
      </c>
      <c r="I126" s="281">
        <v>0</v>
      </c>
      <c r="J126" s="125">
        <v>0</v>
      </c>
    </row>
    <row r="127" spans="1:10" outlineLevel="2" x14ac:dyDescent="0.3">
      <c r="A127" s="766"/>
      <c r="B127" s="767"/>
      <c r="C127" s="767"/>
      <c r="D127" s="69" t="s">
        <v>33</v>
      </c>
      <c r="E127" s="73">
        <f t="shared" si="9"/>
        <v>0</v>
      </c>
      <c r="F127" s="123">
        <v>0</v>
      </c>
      <c r="G127" s="124">
        <v>0</v>
      </c>
      <c r="H127" s="281">
        <v>0</v>
      </c>
      <c r="I127" s="281">
        <v>0</v>
      </c>
      <c r="J127" s="125">
        <v>0</v>
      </c>
    </row>
    <row r="128" spans="1:10" ht="15" outlineLevel="2" thickBot="1" x14ac:dyDescent="0.35">
      <c r="A128" s="766"/>
      <c r="B128" s="767"/>
      <c r="C128" s="767"/>
      <c r="D128" s="70" t="s">
        <v>34</v>
      </c>
      <c r="E128" s="74">
        <f t="shared" si="9"/>
        <v>0</v>
      </c>
      <c r="F128" s="126">
        <v>0</v>
      </c>
      <c r="G128" s="127">
        <v>0</v>
      </c>
      <c r="H128" s="282">
        <v>0</v>
      </c>
      <c r="I128" s="282">
        <v>0</v>
      </c>
      <c r="J128" s="128">
        <v>0</v>
      </c>
    </row>
    <row r="129" spans="1:10" ht="15" thickBot="1" x14ac:dyDescent="0.35">
      <c r="A129" s="17" t="s">
        <v>313</v>
      </c>
      <c r="B129" s="17"/>
      <c r="C129" s="17"/>
      <c r="D129" s="28"/>
      <c r="E129" s="140">
        <f t="shared" ref="E129:J129" si="10">SUM(E130:E149)</f>
        <v>36740</v>
      </c>
      <c r="F129" s="141">
        <f t="shared" si="10"/>
        <v>36740</v>
      </c>
      <c r="G129" s="141">
        <f t="shared" si="10"/>
        <v>0</v>
      </c>
      <c r="H129" s="284">
        <f t="shared" si="10"/>
        <v>0</v>
      </c>
      <c r="I129" s="284">
        <f t="shared" si="10"/>
        <v>0</v>
      </c>
      <c r="J129" s="142">
        <f t="shared" si="10"/>
        <v>0</v>
      </c>
    </row>
    <row r="130" spans="1:10" x14ac:dyDescent="0.3">
      <c r="A130" s="766" t="s">
        <v>314</v>
      </c>
      <c r="B130" s="767"/>
      <c r="C130" s="767"/>
      <c r="D130" s="68" t="s">
        <v>25</v>
      </c>
      <c r="E130" s="72">
        <f t="shared" ref="E130:E149" si="11">SUM(F130:J130)</f>
        <v>35000</v>
      </c>
      <c r="F130" s="120">
        <f>Rozpočet_vývoj!G27</f>
        <v>35000</v>
      </c>
      <c r="G130" s="121"/>
      <c r="H130" s="280">
        <v>0</v>
      </c>
      <c r="I130" s="280">
        <v>0</v>
      </c>
      <c r="J130" s="122">
        <v>0</v>
      </c>
    </row>
    <row r="131" spans="1:10" x14ac:dyDescent="0.3">
      <c r="A131" s="766"/>
      <c r="B131" s="767"/>
      <c r="C131" s="767"/>
      <c r="D131" s="69" t="s">
        <v>26</v>
      </c>
      <c r="E131" s="73">
        <f t="shared" si="11"/>
        <v>0</v>
      </c>
      <c r="F131" s="123">
        <v>0</v>
      </c>
      <c r="G131" s="124"/>
      <c r="H131" s="281">
        <v>0</v>
      </c>
      <c r="I131" s="281">
        <v>0</v>
      </c>
      <c r="J131" s="125">
        <v>0</v>
      </c>
    </row>
    <row r="132" spans="1:10" x14ac:dyDescent="0.3">
      <c r="A132" s="766"/>
      <c r="B132" s="767"/>
      <c r="C132" s="767"/>
      <c r="D132" s="69" t="s">
        <v>27</v>
      </c>
      <c r="E132" s="73">
        <f t="shared" si="11"/>
        <v>0</v>
      </c>
      <c r="F132" s="123">
        <v>0</v>
      </c>
      <c r="G132" s="124">
        <v>0</v>
      </c>
      <c r="H132" s="281">
        <v>0</v>
      </c>
      <c r="I132" s="281">
        <v>0</v>
      </c>
      <c r="J132" s="125">
        <v>0</v>
      </c>
    </row>
    <row r="133" spans="1:10" x14ac:dyDescent="0.3">
      <c r="A133" s="766"/>
      <c r="B133" s="767"/>
      <c r="C133" s="767"/>
      <c r="D133" s="69" t="s">
        <v>28</v>
      </c>
      <c r="E133" s="73">
        <f t="shared" si="11"/>
        <v>0</v>
      </c>
      <c r="F133" s="123">
        <v>0</v>
      </c>
      <c r="G133" s="124">
        <v>0</v>
      </c>
      <c r="H133" s="281">
        <v>0</v>
      </c>
      <c r="I133" s="281">
        <v>0</v>
      </c>
      <c r="J133" s="125">
        <v>0</v>
      </c>
    </row>
    <row r="134" spans="1:10" x14ac:dyDescent="0.3">
      <c r="A134" s="766"/>
      <c r="B134" s="767"/>
      <c r="C134" s="767"/>
      <c r="D134" s="69" t="s">
        <v>29</v>
      </c>
      <c r="E134" s="73">
        <f t="shared" si="11"/>
        <v>0</v>
      </c>
      <c r="F134" s="123">
        <v>0</v>
      </c>
      <c r="G134" s="124">
        <v>0</v>
      </c>
      <c r="H134" s="281">
        <v>0</v>
      </c>
      <c r="I134" s="281">
        <v>0</v>
      </c>
      <c r="J134" s="125">
        <v>0</v>
      </c>
    </row>
    <row r="135" spans="1:10" x14ac:dyDescent="0.3">
      <c r="A135" s="766"/>
      <c r="B135" s="767"/>
      <c r="C135" s="767"/>
      <c r="D135" s="69" t="s">
        <v>30</v>
      </c>
      <c r="E135" s="73">
        <f t="shared" si="11"/>
        <v>0</v>
      </c>
      <c r="F135" s="123">
        <v>0</v>
      </c>
      <c r="G135" s="124">
        <v>0</v>
      </c>
      <c r="H135" s="281">
        <v>0</v>
      </c>
      <c r="I135" s="281">
        <v>0</v>
      </c>
      <c r="J135" s="125">
        <v>0</v>
      </c>
    </row>
    <row r="136" spans="1:10" x14ac:dyDescent="0.3">
      <c r="A136" s="766"/>
      <c r="B136" s="767"/>
      <c r="C136" s="767"/>
      <c r="D136" s="69" t="s">
        <v>31</v>
      </c>
      <c r="E136" s="73">
        <f t="shared" si="11"/>
        <v>0</v>
      </c>
      <c r="F136" s="123">
        <v>0</v>
      </c>
      <c r="G136" s="124">
        <v>0</v>
      </c>
      <c r="H136" s="281">
        <v>0</v>
      </c>
      <c r="I136" s="281">
        <v>0</v>
      </c>
      <c r="J136" s="125">
        <v>0</v>
      </c>
    </row>
    <row r="137" spans="1:10" x14ac:dyDescent="0.3">
      <c r="A137" s="766"/>
      <c r="B137" s="767"/>
      <c r="C137" s="767"/>
      <c r="D137" s="69" t="s">
        <v>32</v>
      </c>
      <c r="E137" s="73">
        <f t="shared" si="11"/>
        <v>0</v>
      </c>
      <c r="F137" s="123">
        <v>0</v>
      </c>
      <c r="G137" s="124">
        <v>0</v>
      </c>
      <c r="H137" s="281">
        <v>0</v>
      </c>
      <c r="I137" s="281">
        <v>0</v>
      </c>
      <c r="J137" s="125">
        <v>0</v>
      </c>
    </row>
    <row r="138" spans="1:10" x14ac:dyDescent="0.3">
      <c r="A138" s="766"/>
      <c r="B138" s="767"/>
      <c r="C138" s="767"/>
      <c r="D138" s="69" t="s">
        <v>33</v>
      </c>
      <c r="E138" s="73">
        <f t="shared" si="11"/>
        <v>0</v>
      </c>
      <c r="F138" s="123">
        <v>0</v>
      </c>
      <c r="G138" s="124">
        <v>0</v>
      </c>
      <c r="H138" s="281">
        <v>0</v>
      </c>
      <c r="I138" s="281">
        <v>0</v>
      </c>
      <c r="J138" s="125">
        <v>0</v>
      </c>
    </row>
    <row r="139" spans="1:10" ht="15" thickBot="1" x14ac:dyDescent="0.35">
      <c r="A139" s="766"/>
      <c r="B139" s="767"/>
      <c r="C139" s="767"/>
      <c r="D139" s="70" t="s">
        <v>34</v>
      </c>
      <c r="E139" s="74">
        <f t="shared" si="11"/>
        <v>0</v>
      </c>
      <c r="F139" s="126">
        <v>0</v>
      </c>
      <c r="G139" s="127">
        <v>0</v>
      </c>
      <c r="H139" s="282">
        <v>0</v>
      </c>
      <c r="I139" s="282">
        <v>0</v>
      </c>
      <c r="J139" s="128">
        <v>0</v>
      </c>
    </row>
    <row r="140" spans="1:10" x14ac:dyDescent="0.3">
      <c r="A140" s="766" t="s">
        <v>146</v>
      </c>
      <c r="B140" s="767"/>
      <c r="C140" s="767" t="s">
        <v>334</v>
      </c>
      <c r="D140" s="68" t="s">
        <v>25</v>
      </c>
      <c r="E140" s="73">
        <f t="shared" si="11"/>
        <v>1740</v>
      </c>
      <c r="F140" s="120">
        <f>Rozpočet_vývoj!G28</f>
        <v>1740</v>
      </c>
      <c r="G140" s="121">
        <v>0</v>
      </c>
      <c r="H140" s="280">
        <v>0</v>
      </c>
      <c r="I140" s="280">
        <v>0</v>
      </c>
      <c r="J140" s="122">
        <v>0</v>
      </c>
    </row>
    <row r="141" spans="1:10" x14ac:dyDescent="0.3">
      <c r="A141" s="766"/>
      <c r="B141" s="767"/>
      <c r="C141" s="767"/>
      <c r="D141" s="69" t="s">
        <v>26</v>
      </c>
      <c r="E141" s="73">
        <f t="shared" si="11"/>
        <v>0</v>
      </c>
      <c r="F141" s="123">
        <v>0</v>
      </c>
      <c r="G141" s="124">
        <v>0</v>
      </c>
      <c r="H141" s="281">
        <v>0</v>
      </c>
      <c r="I141" s="281">
        <v>0</v>
      </c>
      <c r="J141" s="125">
        <v>0</v>
      </c>
    </row>
    <row r="142" spans="1:10" x14ac:dyDescent="0.3">
      <c r="A142" s="766"/>
      <c r="B142" s="767"/>
      <c r="C142" s="767"/>
      <c r="D142" s="69" t="s">
        <v>27</v>
      </c>
      <c r="E142" s="73">
        <f t="shared" si="11"/>
        <v>0</v>
      </c>
      <c r="F142" s="123">
        <v>0</v>
      </c>
      <c r="G142" s="124">
        <v>0</v>
      </c>
      <c r="H142" s="281">
        <v>0</v>
      </c>
      <c r="I142" s="281">
        <v>0</v>
      </c>
      <c r="J142" s="125">
        <v>0</v>
      </c>
    </row>
    <row r="143" spans="1:10" x14ac:dyDescent="0.3">
      <c r="A143" s="766"/>
      <c r="B143" s="767"/>
      <c r="C143" s="767"/>
      <c r="D143" s="69" t="s">
        <v>28</v>
      </c>
      <c r="E143" s="73">
        <f t="shared" si="11"/>
        <v>0</v>
      </c>
      <c r="F143" s="123">
        <v>0</v>
      </c>
      <c r="G143" s="124">
        <v>0</v>
      </c>
      <c r="H143" s="281">
        <v>0</v>
      </c>
      <c r="I143" s="281">
        <v>0</v>
      </c>
      <c r="J143" s="125">
        <v>0</v>
      </c>
    </row>
    <row r="144" spans="1:10" x14ac:dyDescent="0.3">
      <c r="A144" s="766"/>
      <c r="B144" s="767"/>
      <c r="C144" s="767"/>
      <c r="D144" s="69" t="s">
        <v>29</v>
      </c>
      <c r="E144" s="73">
        <f t="shared" si="11"/>
        <v>0</v>
      </c>
      <c r="F144" s="123">
        <v>0</v>
      </c>
      <c r="G144" s="124">
        <v>0</v>
      </c>
      <c r="H144" s="281">
        <v>0</v>
      </c>
      <c r="I144" s="281">
        <v>0</v>
      </c>
      <c r="J144" s="125">
        <v>0</v>
      </c>
    </row>
    <row r="145" spans="1:10" x14ac:dyDescent="0.3">
      <c r="A145" s="766"/>
      <c r="B145" s="767"/>
      <c r="C145" s="767"/>
      <c r="D145" s="69" t="s">
        <v>30</v>
      </c>
      <c r="E145" s="73">
        <f t="shared" si="11"/>
        <v>0</v>
      </c>
      <c r="F145" s="123">
        <v>0</v>
      </c>
      <c r="G145" s="124">
        <v>0</v>
      </c>
      <c r="H145" s="281">
        <v>0</v>
      </c>
      <c r="I145" s="281">
        <v>0</v>
      </c>
      <c r="J145" s="125">
        <v>0</v>
      </c>
    </row>
    <row r="146" spans="1:10" x14ac:dyDescent="0.3">
      <c r="A146" s="766"/>
      <c r="B146" s="767"/>
      <c r="C146" s="767"/>
      <c r="D146" s="69" t="s">
        <v>31</v>
      </c>
      <c r="E146" s="73">
        <f t="shared" si="11"/>
        <v>0</v>
      </c>
      <c r="F146" s="123">
        <v>0</v>
      </c>
      <c r="G146" s="124">
        <v>0</v>
      </c>
      <c r="H146" s="281">
        <v>0</v>
      </c>
      <c r="I146" s="281">
        <v>0</v>
      </c>
      <c r="J146" s="125">
        <v>0</v>
      </c>
    </row>
    <row r="147" spans="1:10" x14ac:dyDescent="0.3">
      <c r="A147" s="766"/>
      <c r="B147" s="767"/>
      <c r="C147" s="767"/>
      <c r="D147" s="69" t="s">
        <v>32</v>
      </c>
      <c r="E147" s="73">
        <f t="shared" si="11"/>
        <v>0</v>
      </c>
      <c r="F147" s="123">
        <v>0</v>
      </c>
      <c r="G147" s="124">
        <v>0</v>
      </c>
      <c r="H147" s="281">
        <v>0</v>
      </c>
      <c r="I147" s="281">
        <v>0</v>
      </c>
      <c r="J147" s="125">
        <v>0</v>
      </c>
    </row>
    <row r="148" spans="1:10" x14ac:dyDescent="0.3">
      <c r="A148" s="766"/>
      <c r="B148" s="767"/>
      <c r="C148" s="767"/>
      <c r="D148" s="69" t="s">
        <v>33</v>
      </c>
      <c r="E148" s="73">
        <f t="shared" si="11"/>
        <v>0</v>
      </c>
      <c r="F148" s="123">
        <v>0</v>
      </c>
      <c r="G148" s="124">
        <v>0</v>
      </c>
      <c r="H148" s="281">
        <v>0</v>
      </c>
      <c r="I148" s="281">
        <v>0</v>
      </c>
      <c r="J148" s="125">
        <v>0</v>
      </c>
    </row>
    <row r="149" spans="1:10" ht="15" thickBot="1" x14ac:dyDescent="0.35">
      <c r="A149" s="766"/>
      <c r="B149" s="767"/>
      <c r="C149" s="767"/>
      <c r="D149" s="70" t="s">
        <v>34</v>
      </c>
      <c r="E149" s="74">
        <f t="shared" si="11"/>
        <v>0</v>
      </c>
      <c r="F149" s="126">
        <v>0</v>
      </c>
      <c r="G149" s="127">
        <v>0</v>
      </c>
      <c r="H149" s="282">
        <v>0</v>
      </c>
      <c r="I149" s="282">
        <v>0</v>
      </c>
      <c r="J149" s="128">
        <v>0</v>
      </c>
    </row>
    <row r="150" spans="1:10" ht="15" thickBot="1" x14ac:dyDescent="0.35">
      <c r="A150" s="764" t="s">
        <v>336</v>
      </c>
      <c r="B150" s="765"/>
      <c r="C150" s="765"/>
      <c r="D150" s="82"/>
      <c r="E150" s="78">
        <f t="shared" ref="E150:J150" si="12">SUM(E151:E170)</f>
        <v>0</v>
      </c>
      <c r="F150" s="79">
        <f t="shared" si="12"/>
        <v>0</v>
      </c>
      <c r="G150" s="79">
        <f t="shared" si="12"/>
        <v>0</v>
      </c>
      <c r="H150" s="275">
        <f t="shared" si="12"/>
        <v>0</v>
      </c>
      <c r="I150" s="275">
        <f t="shared" si="12"/>
        <v>0</v>
      </c>
      <c r="J150" s="80">
        <f t="shared" si="12"/>
        <v>0</v>
      </c>
    </row>
    <row r="151" spans="1:10" x14ac:dyDescent="0.3">
      <c r="A151" s="766" t="s">
        <v>338</v>
      </c>
      <c r="B151" s="767" t="s">
        <v>80</v>
      </c>
      <c r="C151" s="767">
        <v>633013</v>
      </c>
      <c r="D151" s="68" t="s">
        <v>25</v>
      </c>
      <c r="E151" s="65">
        <f t="shared" ref="E151:E170" si="13">SUM(F151:J151)</f>
        <v>0</v>
      </c>
      <c r="F151" s="129">
        <v>0</v>
      </c>
      <c r="G151" s="130">
        <v>0</v>
      </c>
      <c r="H151" s="276">
        <v>0</v>
      </c>
      <c r="I151" s="276">
        <v>0</v>
      </c>
      <c r="J151" s="135">
        <v>0</v>
      </c>
    </row>
    <row r="152" spans="1:10" x14ac:dyDescent="0.3">
      <c r="A152" s="766"/>
      <c r="B152" s="767"/>
      <c r="C152" s="767"/>
      <c r="D152" s="69" t="s">
        <v>26</v>
      </c>
      <c r="E152" s="66">
        <f t="shared" si="13"/>
        <v>0</v>
      </c>
      <c r="F152" s="131">
        <v>0</v>
      </c>
      <c r="G152" s="132">
        <v>0</v>
      </c>
      <c r="H152" s="277">
        <v>0</v>
      </c>
      <c r="I152" s="277">
        <v>0</v>
      </c>
      <c r="J152" s="136">
        <v>0</v>
      </c>
    </row>
    <row r="153" spans="1:10" x14ac:dyDescent="0.3">
      <c r="A153" s="766"/>
      <c r="B153" s="767"/>
      <c r="C153" s="767"/>
      <c r="D153" s="69" t="s">
        <v>27</v>
      </c>
      <c r="E153" s="66">
        <f t="shared" si="13"/>
        <v>0</v>
      </c>
      <c r="F153" s="131">
        <v>0</v>
      </c>
      <c r="G153" s="132">
        <v>0</v>
      </c>
      <c r="H153" s="277">
        <v>0</v>
      </c>
      <c r="I153" s="277">
        <v>0</v>
      </c>
      <c r="J153" s="136">
        <v>0</v>
      </c>
    </row>
    <row r="154" spans="1:10" x14ac:dyDescent="0.3">
      <c r="A154" s="766"/>
      <c r="B154" s="767"/>
      <c r="C154" s="767"/>
      <c r="D154" s="69" t="s">
        <v>28</v>
      </c>
      <c r="E154" s="66">
        <f t="shared" si="13"/>
        <v>0</v>
      </c>
      <c r="F154" s="131">
        <v>0</v>
      </c>
      <c r="G154" s="132">
        <v>0</v>
      </c>
      <c r="H154" s="277">
        <v>0</v>
      </c>
      <c r="I154" s="277">
        <v>0</v>
      </c>
      <c r="J154" s="136">
        <v>0</v>
      </c>
    </row>
    <row r="155" spans="1:10" x14ac:dyDescent="0.3">
      <c r="A155" s="766"/>
      <c r="B155" s="767"/>
      <c r="C155" s="767"/>
      <c r="D155" s="69" t="s">
        <v>29</v>
      </c>
      <c r="E155" s="66">
        <f t="shared" si="13"/>
        <v>0</v>
      </c>
      <c r="F155" s="131">
        <v>0</v>
      </c>
      <c r="G155" s="132">
        <v>0</v>
      </c>
      <c r="H155" s="277">
        <v>0</v>
      </c>
      <c r="I155" s="277">
        <v>0</v>
      </c>
      <c r="J155" s="136">
        <v>0</v>
      </c>
    </row>
    <row r="156" spans="1:10" x14ac:dyDescent="0.3">
      <c r="A156" s="766"/>
      <c r="B156" s="767"/>
      <c r="C156" s="767"/>
      <c r="D156" s="69" t="s">
        <v>30</v>
      </c>
      <c r="E156" s="66">
        <f t="shared" si="13"/>
        <v>0</v>
      </c>
      <c r="F156" s="131">
        <v>0</v>
      </c>
      <c r="G156" s="132">
        <v>0</v>
      </c>
      <c r="H156" s="277">
        <v>0</v>
      </c>
      <c r="I156" s="277">
        <v>0</v>
      </c>
      <c r="J156" s="136">
        <v>0</v>
      </c>
    </row>
    <row r="157" spans="1:10" x14ac:dyDescent="0.3">
      <c r="A157" s="766"/>
      <c r="B157" s="767"/>
      <c r="C157" s="767"/>
      <c r="D157" s="69" t="s">
        <v>31</v>
      </c>
      <c r="E157" s="66">
        <f t="shared" si="13"/>
        <v>0</v>
      </c>
      <c r="F157" s="131">
        <v>0</v>
      </c>
      <c r="G157" s="132">
        <v>0</v>
      </c>
      <c r="H157" s="277">
        <v>0</v>
      </c>
      <c r="I157" s="277">
        <v>0</v>
      </c>
      <c r="J157" s="136">
        <v>0</v>
      </c>
    </row>
    <row r="158" spans="1:10" x14ac:dyDescent="0.3">
      <c r="A158" s="766"/>
      <c r="B158" s="767"/>
      <c r="C158" s="767"/>
      <c r="D158" s="69" t="s">
        <v>32</v>
      </c>
      <c r="E158" s="66">
        <f t="shared" si="13"/>
        <v>0</v>
      </c>
      <c r="F158" s="131">
        <v>0</v>
      </c>
      <c r="G158" s="132">
        <v>0</v>
      </c>
      <c r="H158" s="277">
        <v>0</v>
      </c>
      <c r="I158" s="277">
        <v>0</v>
      </c>
      <c r="J158" s="136">
        <v>0</v>
      </c>
    </row>
    <row r="159" spans="1:10" x14ac:dyDescent="0.3">
      <c r="A159" s="766"/>
      <c r="B159" s="767"/>
      <c r="C159" s="767"/>
      <c r="D159" s="69" t="s">
        <v>33</v>
      </c>
      <c r="E159" s="66">
        <f t="shared" si="13"/>
        <v>0</v>
      </c>
      <c r="F159" s="131">
        <v>0</v>
      </c>
      <c r="G159" s="132">
        <v>0</v>
      </c>
      <c r="H159" s="277">
        <v>0</v>
      </c>
      <c r="I159" s="277">
        <v>0</v>
      </c>
      <c r="J159" s="136">
        <v>0</v>
      </c>
    </row>
    <row r="160" spans="1:10" ht="15" thickBot="1" x14ac:dyDescent="0.35">
      <c r="A160" s="766"/>
      <c r="B160" s="767"/>
      <c r="C160" s="767"/>
      <c r="D160" s="70" t="s">
        <v>34</v>
      </c>
      <c r="E160" s="67">
        <f t="shared" si="13"/>
        <v>0</v>
      </c>
      <c r="F160" s="133">
        <v>0</v>
      </c>
      <c r="G160" s="134">
        <v>0</v>
      </c>
      <c r="H160" s="278">
        <v>0</v>
      </c>
      <c r="I160" s="278">
        <v>0</v>
      </c>
      <c r="J160" s="137">
        <v>0</v>
      </c>
    </row>
    <row r="161" spans="1:10" x14ac:dyDescent="0.3">
      <c r="A161" s="766" t="s">
        <v>337</v>
      </c>
      <c r="B161" s="767"/>
      <c r="C161" s="767">
        <v>637031</v>
      </c>
      <c r="D161" s="68" t="s">
        <v>25</v>
      </c>
      <c r="E161" s="66">
        <f t="shared" si="13"/>
        <v>0</v>
      </c>
      <c r="F161" s="129">
        <v>0</v>
      </c>
      <c r="G161" s="130">
        <v>0</v>
      </c>
      <c r="H161" s="276">
        <v>0</v>
      </c>
      <c r="I161" s="276">
        <v>0</v>
      </c>
      <c r="J161" s="135">
        <v>0</v>
      </c>
    </row>
    <row r="162" spans="1:10" x14ac:dyDescent="0.3">
      <c r="A162" s="766"/>
      <c r="B162" s="767"/>
      <c r="C162" s="767"/>
      <c r="D162" s="69" t="s">
        <v>26</v>
      </c>
      <c r="E162" s="66">
        <f t="shared" si="13"/>
        <v>0</v>
      </c>
      <c r="F162" s="131">
        <v>0</v>
      </c>
      <c r="G162" s="132">
        <v>0</v>
      </c>
      <c r="H162" s="277">
        <v>0</v>
      </c>
      <c r="I162" s="277">
        <v>0</v>
      </c>
      <c r="J162" s="136">
        <v>0</v>
      </c>
    </row>
    <row r="163" spans="1:10" x14ac:dyDescent="0.3">
      <c r="A163" s="766"/>
      <c r="B163" s="767"/>
      <c r="C163" s="767"/>
      <c r="D163" s="69" t="s">
        <v>27</v>
      </c>
      <c r="E163" s="66">
        <f t="shared" si="13"/>
        <v>0</v>
      </c>
      <c r="F163" s="131">
        <v>0</v>
      </c>
      <c r="G163" s="132">
        <v>0</v>
      </c>
      <c r="H163" s="277">
        <v>0</v>
      </c>
      <c r="I163" s="277">
        <v>0</v>
      </c>
      <c r="J163" s="136">
        <v>0</v>
      </c>
    </row>
    <row r="164" spans="1:10" x14ac:dyDescent="0.3">
      <c r="A164" s="766"/>
      <c r="B164" s="767"/>
      <c r="C164" s="767"/>
      <c r="D164" s="69" t="s">
        <v>28</v>
      </c>
      <c r="E164" s="66">
        <f t="shared" si="13"/>
        <v>0</v>
      </c>
      <c r="F164" s="131">
        <v>0</v>
      </c>
      <c r="G164" s="132">
        <v>0</v>
      </c>
      <c r="H164" s="277">
        <v>0</v>
      </c>
      <c r="I164" s="277">
        <v>0</v>
      </c>
      <c r="J164" s="136">
        <v>0</v>
      </c>
    </row>
    <row r="165" spans="1:10" x14ac:dyDescent="0.3">
      <c r="A165" s="766"/>
      <c r="B165" s="767"/>
      <c r="C165" s="767"/>
      <c r="D165" s="69" t="s">
        <v>29</v>
      </c>
      <c r="E165" s="66">
        <f t="shared" si="13"/>
        <v>0</v>
      </c>
      <c r="F165" s="131">
        <v>0</v>
      </c>
      <c r="G165" s="132">
        <v>0</v>
      </c>
      <c r="H165" s="277">
        <v>0</v>
      </c>
      <c r="I165" s="277">
        <v>0</v>
      </c>
      <c r="J165" s="136">
        <v>0</v>
      </c>
    </row>
    <row r="166" spans="1:10" x14ac:dyDescent="0.3">
      <c r="A166" s="766"/>
      <c r="B166" s="767"/>
      <c r="C166" s="767"/>
      <c r="D166" s="69" t="s">
        <v>30</v>
      </c>
      <c r="E166" s="66">
        <f t="shared" si="13"/>
        <v>0</v>
      </c>
      <c r="F166" s="131">
        <v>0</v>
      </c>
      <c r="G166" s="132">
        <v>0</v>
      </c>
      <c r="H166" s="277">
        <v>0</v>
      </c>
      <c r="I166" s="277">
        <v>0</v>
      </c>
      <c r="J166" s="136">
        <v>0</v>
      </c>
    </row>
    <row r="167" spans="1:10" x14ac:dyDescent="0.3">
      <c r="A167" s="766"/>
      <c r="B167" s="767"/>
      <c r="C167" s="767"/>
      <c r="D167" s="69" t="s">
        <v>31</v>
      </c>
      <c r="E167" s="66">
        <f t="shared" si="13"/>
        <v>0</v>
      </c>
      <c r="F167" s="131">
        <v>0</v>
      </c>
      <c r="G167" s="132">
        <v>0</v>
      </c>
      <c r="H167" s="277">
        <v>0</v>
      </c>
      <c r="I167" s="277">
        <v>0</v>
      </c>
      <c r="J167" s="136">
        <v>0</v>
      </c>
    </row>
    <row r="168" spans="1:10" x14ac:dyDescent="0.3">
      <c r="A168" s="766"/>
      <c r="B168" s="767"/>
      <c r="C168" s="767"/>
      <c r="D168" s="69" t="s">
        <v>32</v>
      </c>
      <c r="E168" s="66">
        <f t="shared" si="13"/>
        <v>0</v>
      </c>
      <c r="F168" s="131">
        <v>0</v>
      </c>
      <c r="G168" s="132">
        <v>0</v>
      </c>
      <c r="H168" s="277">
        <v>0</v>
      </c>
      <c r="I168" s="277">
        <v>0</v>
      </c>
      <c r="J168" s="136">
        <v>0</v>
      </c>
    </row>
    <row r="169" spans="1:10" x14ac:dyDescent="0.3">
      <c r="A169" s="766"/>
      <c r="B169" s="767"/>
      <c r="C169" s="767"/>
      <c r="D169" s="69" t="s">
        <v>33</v>
      </c>
      <c r="E169" s="66">
        <f t="shared" si="13"/>
        <v>0</v>
      </c>
      <c r="F169" s="131">
        <v>0</v>
      </c>
      <c r="G169" s="132">
        <v>0</v>
      </c>
      <c r="H169" s="277">
        <v>0</v>
      </c>
      <c r="I169" s="277">
        <v>0</v>
      </c>
      <c r="J169" s="136">
        <v>0</v>
      </c>
    </row>
    <row r="170" spans="1:10" ht="15" thickBot="1" x14ac:dyDescent="0.35">
      <c r="A170" s="766"/>
      <c r="B170" s="767"/>
      <c r="C170" s="767"/>
      <c r="D170" s="70" t="s">
        <v>34</v>
      </c>
      <c r="E170" s="67">
        <f t="shared" si="13"/>
        <v>0</v>
      </c>
      <c r="F170" s="133">
        <v>0</v>
      </c>
      <c r="G170" s="134">
        <v>0</v>
      </c>
      <c r="H170" s="278">
        <v>0</v>
      </c>
      <c r="I170" s="278">
        <v>0</v>
      </c>
      <c r="J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view="pageBreakPreview" topLeftCell="A13" zoomScale="78" zoomScaleNormal="85" zoomScaleSheetLayoutView="78" workbookViewId="0">
      <selection activeCell="F37" sqref="F37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9" width="19.33203125" customWidth="1" outlineLevel="1"/>
    <col min="10" max="10" width="31" customWidth="1" outlineLevel="1"/>
    <col min="11" max="11" width="19" customWidth="1"/>
  </cols>
  <sheetData>
    <row r="1" spans="1:11" ht="29.4" thickBot="1" x14ac:dyDescent="0.45">
      <c r="A1" s="762" t="s">
        <v>100</v>
      </c>
      <c r="B1" s="762"/>
      <c r="C1" s="762"/>
      <c r="D1" s="763"/>
      <c r="E1" s="71" t="s">
        <v>35</v>
      </c>
      <c r="F1" s="319" t="s">
        <v>407</v>
      </c>
      <c r="G1" s="319" t="s">
        <v>212</v>
      </c>
      <c r="H1" s="319" t="s">
        <v>212</v>
      </c>
      <c r="I1" s="319" t="s">
        <v>212</v>
      </c>
      <c r="J1" s="319" t="s">
        <v>342</v>
      </c>
      <c r="K1" s="319" t="s">
        <v>335</v>
      </c>
    </row>
    <row r="2" spans="1:11" ht="15" thickBot="1" x14ac:dyDescent="0.35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5" thickBot="1" x14ac:dyDescent="0.35">
      <c r="A3" s="771" t="s">
        <v>90</v>
      </c>
      <c r="B3" s="771"/>
      <c r="C3" s="771"/>
      <c r="D3" s="75"/>
      <c r="E3" s="78">
        <f t="shared" ref="E3:K3" si="0">SUM(E4:E33)</f>
        <v>379819.41199999995</v>
      </c>
      <c r="F3" s="79">
        <f t="shared" si="0"/>
        <v>379819.41199999995</v>
      </c>
      <c r="G3" s="79">
        <f t="shared" si="0"/>
        <v>0</v>
      </c>
      <c r="H3" s="275">
        <f t="shared" si="0"/>
        <v>0</v>
      </c>
      <c r="I3" s="275">
        <f t="shared" si="0"/>
        <v>0</v>
      </c>
      <c r="J3" s="275">
        <f>SUM(J4:J33)</f>
        <v>0</v>
      </c>
      <c r="K3" s="80">
        <f t="shared" si="0"/>
        <v>0</v>
      </c>
    </row>
    <row r="4" spans="1:11" outlineLevel="1" x14ac:dyDescent="0.3">
      <c r="A4" s="766" t="s">
        <v>92</v>
      </c>
      <c r="B4" s="766" t="s">
        <v>95</v>
      </c>
      <c r="C4" s="767">
        <v>713002</v>
      </c>
      <c r="D4" s="68" t="s">
        <v>25</v>
      </c>
      <c r="E4" s="72">
        <f>SUM(F4:K4)</f>
        <v>379819.41199999995</v>
      </c>
      <c r="F4" s="120">
        <f>Rozpočet_vývoj!G25</f>
        <v>379819.41199999995</v>
      </c>
      <c r="G4" s="121"/>
      <c r="H4" s="280"/>
      <c r="I4" s="280">
        <v>0</v>
      </c>
      <c r="J4" s="280">
        <v>0</v>
      </c>
      <c r="K4" s="122">
        <v>0</v>
      </c>
    </row>
    <row r="5" spans="1:11" outlineLevel="1" x14ac:dyDescent="0.3">
      <c r="A5" s="766"/>
      <c r="B5" s="767"/>
      <c r="C5" s="767"/>
      <c r="D5" s="69" t="s">
        <v>26</v>
      </c>
      <c r="E5" s="73">
        <f t="shared" ref="E5:E33" si="1">SUM(F5:K5)</f>
        <v>0</v>
      </c>
      <c r="F5" s="123">
        <v>0</v>
      </c>
      <c r="G5" s="124">
        <v>0</v>
      </c>
      <c r="H5" s="281">
        <v>0</v>
      </c>
      <c r="I5" s="281">
        <v>0</v>
      </c>
      <c r="J5" s="281">
        <v>0</v>
      </c>
      <c r="K5" s="125">
        <v>0</v>
      </c>
    </row>
    <row r="6" spans="1:11" outlineLevel="1" x14ac:dyDescent="0.3">
      <c r="A6" s="766"/>
      <c r="B6" s="767"/>
      <c r="C6" s="767"/>
      <c r="D6" s="69" t="s">
        <v>27</v>
      </c>
      <c r="E6" s="73">
        <f t="shared" si="1"/>
        <v>0</v>
      </c>
      <c r="F6" s="123">
        <v>0</v>
      </c>
      <c r="G6" s="124">
        <v>0</v>
      </c>
      <c r="H6" s="281">
        <v>0</v>
      </c>
      <c r="I6" s="281">
        <v>0</v>
      </c>
      <c r="J6" s="281">
        <v>0</v>
      </c>
      <c r="K6" s="125">
        <v>0</v>
      </c>
    </row>
    <row r="7" spans="1:11" outlineLevel="1" x14ac:dyDescent="0.3">
      <c r="A7" s="766"/>
      <c r="B7" s="767"/>
      <c r="C7" s="767"/>
      <c r="D7" s="69" t="s">
        <v>28</v>
      </c>
      <c r="E7" s="73">
        <f t="shared" si="1"/>
        <v>0</v>
      </c>
      <c r="F7" s="123">
        <v>0</v>
      </c>
      <c r="G7" s="124">
        <v>0</v>
      </c>
      <c r="H7" s="281">
        <v>0</v>
      </c>
      <c r="I7" s="281">
        <v>0</v>
      </c>
      <c r="J7" s="281">
        <v>0</v>
      </c>
      <c r="K7" s="125">
        <v>0</v>
      </c>
    </row>
    <row r="8" spans="1:11" outlineLevel="1" x14ac:dyDescent="0.3">
      <c r="A8" s="766"/>
      <c r="B8" s="767"/>
      <c r="C8" s="767"/>
      <c r="D8" s="69" t="s">
        <v>29</v>
      </c>
      <c r="E8" s="73">
        <f t="shared" si="1"/>
        <v>0</v>
      </c>
      <c r="F8" s="123">
        <v>0</v>
      </c>
      <c r="G8" s="124">
        <v>0</v>
      </c>
      <c r="H8" s="281">
        <v>0</v>
      </c>
      <c r="I8" s="281">
        <v>0</v>
      </c>
      <c r="J8" s="281">
        <v>0</v>
      </c>
      <c r="K8" s="125">
        <v>0</v>
      </c>
    </row>
    <row r="9" spans="1:11" outlineLevel="1" x14ac:dyDescent="0.3">
      <c r="A9" s="766"/>
      <c r="B9" s="767"/>
      <c r="C9" s="767"/>
      <c r="D9" s="69" t="s">
        <v>30</v>
      </c>
      <c r="E9" s="73">
        <f t="shared" si="1"/>
        <v>0</v>
      </c>
      <c r="F9" s="123">
        <v>0</v>
      </c>
      <c r="G9" s="124">
        <v>0</v>
      </c>
      <c r="H9" s="281">
        <v>0</v>
      </c>
      <c r="I9" s="281">
        <v>0</v>
      </c>
      <c r="J9" s="281">
        <v>0</v>
      </c>
      <c r="K9" s="125">
        <v>0</v>
      </c>
    </row>
    <row r="10" spans="1:11" outlineLevel="1" x14ac:dyDescent="0.3">
      <c r="A10" s="766"/>
      <c r="B10" s="767"/>
      <c r="C10" s="767"/>
      <c r="D10" s="69" t="s">
        <v>31</v>
      </c>
      <c r="E10" s="73">
        <f t="shared" si="1"/>
        <v>0</v>
      </c>
      <c r="F10" s="123">
        <v>0</v>
      </c>
      <c r="G10" s="124">
        <v>0</v>
      </c>
      <c r="H10" s="281">
        <v>0</v>
      </c>
      <c r="I10" s="281">
        <v>0</v>
      </c>
      <c r="J10" s="281">
        <v>0</v>
      </c>
      <c r="K10" s="125">
        <v>0</v>
      </c>
    </row>
    <row r="11" spans="1:11" outlineLevel="1" x14ac:dyDescent="0.3">
      <c r="A11" s="766"/>
      <c r="B11" s="767"/>
      <c r="C11" s="767"/>
      <c r="D11" s="69" t="s">
        <v>32</v>
      </c>
      <c r="E11" s="73">
        <f t="shared" si="1"/>
        <v>0</v>
      </c>
      <c r="F11" s="123">
        <v>0</v>
      </c>
      <c r="G11" s="124">
        <v>0</v>
      </c>
      <c r="H11" s="281">
        <v>0</v>
      </c>
      <c r="I11" s="281">
        <v>0</v>
      </c>
      <c r="J11" s="281">
        <v>0</v>
      </c>
      <c r="K11" s="125">
        <v>0</v>
      </c>
    </row>
    <row r="12" spans="1:11" outlineLevel="1" x14ac:dyDescent="0.3">
      <c r="A12" s="766"/>
      <c r="B12" s="767"/>
      <c r="C12" s="767"/>
      <c r="D12" s="69" t="s">
        <v>33</v>
      </c>
      <c r="E12" s="73">
        <f t="shared" si="1"/>
        <v>0</v>
      </c>
      <c r="F12" s="123">
        <v>0</v>
      </c>
      <c r="G12" s="124">
        <v>0</v>
      </c>
      <c r="H12" s="281">
        <v>0</v>
      </c>
      <c r="I12" s="281">
        <v>0</v>
      </c>
      <c r="J12" s="281">
        <v>0</v>
      </c>
      <c r="K12" s="125">
        <v>0</v>
      </c>
    </row>
    <row r="13" spans="1:11" ht="15" outlineLevel="1" thickBot="1" x14ac:dyDescent="0.35">
      <c r="A13" s="766"/>
      <c r="B13" s="767"/>
      <c r="C13" s="767"/>
      <c r="D13" s="70" t="s">
        <v>34</v>
      </c>
      <c r="E13" s="74">
        <f t="shared" si="1"/>
        <v>0</v>
      </c>
      <c r="F13" s="126">
        <v>0</v>
      </c>
      <c r="G13" s="127">
        <v>0</v>
      </c>
      <c r="H13" s="282">
        <v>0</v>
      </c>
      <c r="I13" s="282">
        <v>0</v>
      </c>
      <c r="J13" s="282">
        <v>0</v>
      </c>
      <c r="K13" s="128">
        <v>0</v>
      </c>
    </row>
    <row r="14" spans="1:11" ht="15" customHeight="1" outlineLevel="1" x14ac:dyDescent="0.3">
      <c r="A14" s="766" t="s">
        <v>93</v>
      </c>
      <c r="B14" s="766" t="s">
        <v>117</v>
      </c>
      <c r="C14" s="767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280">
        <v>0</v>
      </c>
      <c r="I14" s="280">
        <v>0</v>
      </c>
      <c r="J14" s="280">
        <v>0</v>
      </c>
      <c r="K14" s="122">
        <v>0</v>
      </c>
    </row>
    <row r="15" spans="1:11" outlineLevel="1" x14ac:dyDescent="0.3">
      <c r="A15" s="766"/>
      <c r="B15" s="767"/>
      <c r="C15" s="767"/>
      <c r="D15" s="69" t="s">
        <v>26</v>
      </c>
      <c r="E15" s="73">
        <f t="shared" si="1"/>
        <v>0</v>
      </c>
      <c r="F15" s="123">
        <v>0</v>
      </c>
      <c r="G15" s="124">
        <v>0</v>
      </c>
      <c r="H15" s="281">
        <v>0</v>
      </c>
      <c r="I15" s="281">
        <v>0</v>
      </c>
      <c r="J15" s="281">
        <v>0</v>
      </c>
      <c r="K15" s="125">
        <v>0</v>
      </c>
    </row>
    <row r="16" spans="1:11" outlineLevel="1" x14ac:dyDescent="0.3">
      <c r="A16" s="766"/>
      <c r="B16" s="767"/>
      <c r="C16" s="767"/>
      <c r="D16" s="69" t="s">
        <v>27</v>
      </c>
      <c r="E16" s="73">
        <f t="shared" si="1"/>
        <v>0</v>
      </c>
      <c r="F16" s="123">
        <v>0</v>
      </c>
      <c r="G16" s="124">
        <v>0</v>
      </c>
      <c r="H16" s="281">
        <v>0</v>
      </c>
      <c r="I16" s="281">
        <v>0</v>
      </c>
      <c r="J16" s="281">
        <v>0</v>
      </c>
      <c r="K16" s="125">
        <v>0</v>
      </c>
    </row>
    <row r="17" spans="1:11" outlineLevel="1" x14ac:dyDescent="0.3">
      <c r="A17" s="766"/>
      <c r="B17" s="767"/>
      <c r="C17" s="767"/>
      <c r="D17" s="69" t="s">
        <v>28</v>
      </c>
      <c r="E17" s="73">
        <f t="shared" si="1"/>
        <v>0</v>
      </c>
      <c r="F17" s="123">
        <v>0</v>
      </c>
      <c r="G17" s="124">
        <v>0</v>
      </c>
      <c r="H17" s="281">
        <v>0</v>
      </c>
      <c r="I17" s="281">
        <v>0</v>
      </c>
      <c r="J17" s="281">
        <v>0</v>
      </c>
      <c r="K17" s="125">
        <v>0</v>
      </c>
    </row>
    <row r="18" spans="1:11" outlineLevel="1" x14ac:dyDescent="0.3">
      <c r="A18" s="766"/>
      <c r="B18" s="767"/>
      <c r="C18" s="767"/>
      <c r="D18" s="69" t="s">
        <v>29</v>
      </c>
      <c r="E18" s="73">
        <f t="shared" si="1"/>
        <v>0</v>
      </c>
      <c r="F18" s="123">
        <v>0</v>
      </c>
      <c r="G18" s="124">
        <v>0</v>
      </c>
      <c r="H18" s="281">
        <v>0</v>
      </c>
      <c r="I18" s="281">
        <v>0</v>
      </c>
      <c r="J18" s="281">
        <v>0</v>
      </c>
      <c r="K18" s="125">
        <v>0</v>
      </c>
    </row>
    <row r="19" spans="1:11" outlineLevel="1" x14ac:dyDescent="0.3">
      <c r="A19" s="766"/>
      <c r="B19" s="767"/>
      <c r="C19" s="767"/>
      <c r="D19" s="69" t="s">
        <v>30</v>
      </c>
      <c r="E19" s="73">
        <f t="shared" si="1"/>
        <v>0</v>
      </c>
      <c r="F19" s="123">
        <v>0</v>
      </c>
      <c r="G19" s="124">
        <v>0</v>
      </c>
      <c r="H19" s="281">
        <v>0</v>
      </c>
      <c r="I19" s="281">
        <v>0</v>
      </c>
      <c r="J19" s="281">
        <v>0</v>
      </c>
      <c r="K19" s="125">
        <v>0</v>
      </c>
    </row>
    <row r="20" spans="1:11" outlineLevel="1" x14ac:dyDescent="0.3">
      <c r="A20" s="766"/>
      <c r="B20" s="767"/>
      <c r="C20" s="767"/>
      <c r="D20" s="69" t="s">
        <v>31</v>
      </c>
      <c r="E20" s="73">
        <f t="shared" si="1"/>
        <v>0</v>
      </c>
      <c r="F20" s="123">
        <v>0</v>
      </c>
      <c r="G20" s="124">
        <v>0</v>
      </c>
      <c r="H20" s="281">
        <v>0</v>
      </c>
      <c r="I20" s="281">
        <v>0</v>
      </c>
      <c r="J20" s="281">
        <v>0</v>
      </c>
      <c r="K20" s="125">
        <v>0</v>
      </c>
    </row>
    <row r="21" spans="1:11" outlineLevel="1" x14ac:dyDescent="0.3">
      <c r="A21" s="766"/>
      <c r="B21" s="767"/>
      <c r="C21" s="767"/>
      <c r="D21" s="69" t="s">
        <v>32</v>
      </c>
      <c r="E21" s="73">
        <f t="shared" si="1"/>
        <v>0</v>
      </c>
      <c r="F21" s="123">
        <v>0</v>
      </c>
      <c r="G21" s="124">
        <v>0</v>
      </c>
      <c r="H21" s="281">
        <v>0</v>
      </c>
      <c r="I21" s="281">
        <v>0</v>
      </c>
      <c r="J21" s="281">
        <v>0</v>
      </c>
      <c r="K21" s="125">
        <v>0</v>
      </c>
    </row>
    <row r="22" spans="1:11" outlineLevel="1" x14ac:dyDescent="0.3">
      <c r="A22" s="766"/>
      <c r="B22" s="767"/>
      <c r="C22" s="767"/>
      <c r="D22" s="69" t="s">
        <v>33</v>
      </c>
      <c r="E22" s="73">
        <f t="shared" si="1"/>
        <v>0</v>
      </c>
      <c r="F22" s="123">
        <v>0</v>
      </c>
      <c r="G22" s="124">
        <v>0</v>
      </c>
      <c r="H22" s="281">
        <v>0</v>
      </c>
      <c r="I22" s="281">
        <v>0</v>
      </c>
      <c r="J22" s="281">
        <v>0</v>
      </c>
      <c r="K22" s="125">
        <v>0</v>
      </c>
    </row>
    <row r="23" spans="1:11" ht="15" outlineLevel="1" thickBot="1" x14ac:dyDescent="0.35">
      <c r="A23" s="766"/>
      <c r="B23" s="767"/>
      <c r="C23" s="767"/>
      <c r="D23" s="70" t="s">
        <v>34</v>
      </c>
      <c r="E23" s="74">
        <f t="shared" si="1"/>
        <v>0</v>
      </c>
      <c r="F23" s="126">
        <v>0</v>
      </c>
      <c r="G23" s="127">
        <v>0</v>
      </c>
      <c r="H23" s="282">
        <v>0</v>
      </c>
      <c r="I23" s="282">
        <v>0</v>
      </c>
      <c r="J23" s="282">
        <v>0</v>
      </c>
      <c r="K23" s="128">
        <v>0</v>
      </c>
    </row>
    <row r="24" spans="1:11" outlineLevel="1" x14ac:dyDescent="0.3">
      <c r="A24" s="766" t="s">
        <v>94</v>
      </c>
      <c r="B24" s="767" t="s">
        <v>80</v>
      </c>
      <c r="C24" s="767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280">
        <v>0</v>
      </c>
      <c r="I24" s="280">
        <v>0</v>
      </c>
      <c r="J24" s="280">
        <v>0</v>
      </c>
      <c r="K24" s="122">
        <v>0</v>
      </c>
    </row>
    <row r="25" spans="1:11" outlineLevel="1" x14ac:dyDescent="0.3">
      <c r="A25" s="766"/>
      <c r="B25" s="767"/>
      <c r="C25" s="767"/>
      <c r="D25" s="69" t="s">
        <v>26</v>
      </c>
      <c r="E25" s="73">
        <f t="shared" si="1"/>
        <v>0</v>
      </c>
      <c r="F25" s="123">
        <v>0</v>
      </c>
      <c r="G25" s="124">
        <v>0</v>
      </c>
      <c r="H25" s="281">
        <v>0</v>
      </c>
      <c r="I25" s="281">
        <v>0</v>
      </c>
      <c r="J25" s="281">
        <v>0</v>
      </c>
      <c r="K25" s="125">
        <v>0</v>
      </c>
    </row>
    <row r="26" spans="1:11" outlineLevel="1" x14ac:dyDescent="0.3">
      <c r="A26" s="766"/>
      <c r="B26" s="767"/>
      <c r="C26" s="767"/>
      <c r="D26" s="69" t="s">
        <v>27</v>
      </c>
      <c r="E26" s="73">
        <f t="shared" si="1"/>
        <v>0</v>
      </c>
      <c r="F26" s="123">
        <v>0</v>
      </c>
      <c r="G26" s="124">
        <v>0</v>
      </c>
      <c r="H26" s="281">
        <v>0</v>
      </c>
      <c r="I26" s="281">
        <v>0</v>
      </c>
      <c r="J26" s="281">
        <v>0</v>
      </c>
      <c r="K26" s="125">
        <v>0</v>
      </c>
    </row>
    <row r="27" spans="1:11" outlineLevel="1" x14ac:dyDescent="0.3">
      <c r="A27" s="766"/>
      <c r="B27" s="767"/>
      <c r="C27" s="767"/>
      <c r="D27" s="69" t="s">
        <v>28</v>
      </c>
      <c r="E27" s="73">
        <f t="shared" si="1"/>
        <v>0</v>
      </c>
      <c r="F27" s="123">
        <v>0</v>
      </c>
      <c r="G27" s="124">
        <v>0</v>
      </c>
      <c r="H27" s="281">
        <v>0</v>
      </c>
      <c r="I27" s="281">
        <v>0</v>
      </c>
      <c r="J27" s="281">
        <v>0</v>
      </c>
      <c r="K27" s="125">
        <v>0</v>
      </c>
    </row>
    <row r="28" spans="1:11" outlineLevel="1" x14ac:dyDescent="0.3">
      <c r="A28" s="766"/>
      <c r="B28" s="767"/>
      <c r="C28" s="767"/>
      <c r="D28" s="69" t="s">
        <v>29</v>
      </c>
      <c r="E28" s="73">
        <f t="shared" si="1"/>
        <v>0</v>
      </c>
      <c r="F28" s="123">
        <v>0</v>
      </c>
      <c r="G28" s="124">
        <v>0</v>
      </c>
      <c r="H28" s="281">
        <v>0</v>
      </c>
      <c r="I28" s="281">
        <v>0</v>
      </c>
      <c r="J28" s="281">
        <v>0</v>
      </c>
      <c r="K28" s="125">
        <v>0</v>
      </c>
    </row>
    <row r="29" spans="1:11" outlineLevel="1" x14ac:dyDescent="0.3">
      <c r="A29" s="766"/>
      <c r="B29" s="767"/>
      <c r="C29" s="767"/>
      <c r="D29" s="69" t="s">
        <v>30</v>
      </c>
      <c r="E29" s="73">
        <f t="shared" si="1"/>
        <v>0</v>
      </c>
      <c r="F29" s="123">
        <v>0</v>
      </c>
      <c r="G29" s="124">
        <v>0</v>
      </c>
      <c r="H29" s="281">
        <v>0</v>
      </c>
      <c r="I29" s="281">
        <v>0</v>
      </c>
      <c r="J29" s="281">
        <v>0</v>
      </c>
      <c r="K29" s="125">
        <v>0</v>
      </c>
    </row>
    <row r="30" spans="1:11" outlineLevel="1" x14ac:dyDescent="0.3">
      <c r="A30" s="766"/>
      <c r="B30" s="767"/>
      <c r="C30" s="767"/>
      <c r="D30" s="69" t="s">
        <v>31</v>
      </c>
      <c r="E30" s="73">
        <f t="shared" si="1"/>
        <v>0</v>
      </c>
      <c r="F30" s="123">
        <v>0</v>
      </c>
      <c r="G30" s="124">
        <v>0</v>
      </c>
      <c r="H30" s="281">
        <v>0</v>
      </c>
      <c r="I30" s="281">
        <v>0</v>
      </c>
      <c r="J30" s="281">
        <v>0</v>
      </c>
      <c r="K30" s="125">
        <v>0</v>
      </c>
    </row>
    <row r="31" spans="1:11" outlineLevel="1" x14ac:dyDescent="0.3">
      <c r="A31" s="766"/>
      <c r="B31" s="767"/>
      <c r="C31" s="767"/>
      <c r="D31" s="69" t="s">
        <v>32</v>
      </c>
      <c r="E31" s="73">
        <f t="shared" si="1"/>
        <v>0</v>
      </c>
      <c r="F31" s="123">
        <v>0</v>
      </c>
      <c r="G31" s="124">
        <v>0</v>
      </c>
      <c r="H31" s="281">
        <v>0</v>
      </c>
      <c r="I31" s="281">
        <v>0</v>
      </c>
      <c r="J31" s="281">
        <v>0</v>
      </c>
      <c r="K31" s="125">
        <v>0</v>
      </c>
    </row>
    <row r="32" spans="1:11" outlineLevel="1" x14ac:dyDescent="0.3">
      <c r="A32" s="766"/>
      <c r="B32" s="767"/>
      <c r="C32" s="767"/>
      <c r="D32" s="69" t="s">
        <v>33</v>
      </c>
      <c r="E32" s="73">
        <f t="shared" si="1"/>
        <v>0</v>
      </c>
      <c r="F32" s="123">
        <v>0</v>
      </c>
      <c r="G32" s="124">
        <v>0</v>
      </c>
      <c r="H32" s="281">
        <v>0</v>
      </c>
      <c r="I32" s="281">
        <v>0</v>
      </c>
      <c r="J32" s="281">
        <v>0</v>
      </c>
      <c r="K32" s="125">
        <v>0</v>
      </c>
    </row>
    <row r="33" spans="1:11" ht="15" outlineLevel="1" thickBot="1" x14ac:dyDescent="0.35">
      <c r="A33" s="766"/>
      <c r="B33" s="767"/>
      <c r="C33" s="767"/>
      <c r="D33" s="70" t="s">
        <v>34</v>
      </c>
      <c r="E33" s="73">
        <f t="shared" si="1"/>
        <v>0</v>
      </c>
      <c r="F33" s="126">
        <v>0</v>
      </c>
      <c r="G33" s="127">
        <v>0</v>
      </c>
      <c r="H33" s="282">
        <v>0</v>
      </c>
      <c r="I33" s="282">
        <v>0</v>
      </c>
      <c r="J33" s="282">
        <v>0</v>
      </c>
      <c r="K33" s="128">
        <v>0</v>
      </c>
    </row>
    <row r="34" spans="1:11" ht="15" thickBot="1" x14ac:dyDescent="0.35">
      <c r="A34" s="768" t="s">
        <v>91</v>
      </c>
      <c r="B34" s="768"/>
      <c r="C34" s="768"/>
      <c r="D34" s="77"/>
      <c r="E34" s="78">
        <f t="shared" ref="E34:K34" si="2">SUM(E35:E84)</f>
        <v>167120.54127999998</v>
      </c>
      <c r="F34" s="79">
        <f t="shared" si="2"/>
        <v>167120.54127999998</v>
      </c>
      <c r="G34" s="79">
        <f t="shared" si="2"/>
        <v>0</v>
      </c>
      <c r="H34" s="275">
        <f t="shared" si="2"/>
        <v>0</v>
      </c>
      <c r="I34" s="275">
        <f t="shared" si="2"/>
        <v>0</v>
      </c>
      <c r="J34" s="275">
        <f>SUM(J35:J84)</f>
        <v>0</v>
      </c>
      <c r="K34" s="80">
        <f t="shared" si="2"/>
        <v>0</v>
      </c>
    </row>
    <row r="35" spans="1:11" outlineLevel="1" x14ac:dyDescent="0.3">
      <c r="A35" s="766" t="s">
        <v>96</v>
      </c>
      <c r="B35" s="767" t="s">
        <v>83</v>
      </c>
      <c r="C35" s="767">
        <v>635002</v>
      </c>
      <c r="D35" s="68" t="s">
        <v>25</v>
      </c>
      <c r="E35" s="72">
        <f t="shared" ref="E35:E84" si="3">SUM(F35:K35)</f>
        <v>0</v>
      </c>
      <c r="F35" s="120"/>
      <c r="G35" s="121"/>
      <c r="H35" s="280"/>
      <c r="I35" s="280">
        <v>0</v>
      </c>
      <c r="J35" s="280">
        <v>0</v>
      </c>
      <c r="K35" s="122">
        <v>0</v>
      </c>
    </row>
    <row r="36" spans="1:11" outlineLevel="1" x14ac:dyDescent="0.3">
      <c r="A36" s="766"/>
      <c r="B36" s="767"/>
      <c r="C36" s="767"/>
      <c r="D36" s="69" t="s">
        <v>26</v>
      </c>
      <c r="E36" s="73">
        <f t="shared" si="3"/>
        <v>0</v>
      </c>
      <c r="F36" s="123"/>
      <c r="G36" s="124"/>
      <c r="H36" s="281"/>
      <c r="I36" s="281">
        <v>0</v>
      </c>
      <c r="J36" s="281">
        <v>0</v>
      </c>
      <c r="K36" s="125">
        <v>0</v>
      </c>
    </row>
    <row r="37" spans="1:11" outlineLevel="1" x14ac:dyDescent="0.3">
      <c r="A37" s="766"/>
      <c r="B37" s="767"/>
      <c r="C37" s="767"/>
      <c r="D37" s="69" t="s">
        <v>27</v>
      </c>
      <c r="E37" s="73">
        <f t="shared" si="3"/>
        <v>20890.067659999997</v>
      </c>
      <c r="F37" s="123">
        <f>F4*0.055</f>
        <v>20890.067659999997</v>
      </c>
      <c r="G37" s="124"/>
      <c r="H37" s="281"/>
      <c r="I37" s="281">
        <v>0</v>
      </c>
      <c r="J37" s="281">
        <v>0</v>
      </c>
      <c r="K37" s="125">
        <v>0</v>
      </c>
    </row>
    <row r="38" spans="1:11" outlineLevel="1" x14ac:dyDescent="0.3">
      <c r="A38" s="766"/>
      <c r="B38" s="767"/>
      <c r="C38" s="767"/>
      <c r="D38" s="69" t="s">
        <v>28</v>
      </c>
      <c r="E38" s="73">
        <f t="shared" si="3"/>
        <v>20890.067659999997</v>
      </c>
      <c r="F38" s="123">
        <f>F37</f>
        <v>20890.067659999997</v>
      </c>
      <c r="G38" s="124"/>
      <c r="H38" s="281"/>
      <c r="I38" s="281">
        <v>0</v>
      </c>
      <c r="J38" s="281">
        <v>0</v>
      </c>
      <c r="K38" s="125">
        <v>0</v>
      </c>
    </row>
    <row r="39" spans="1:11" outlineLevel="1" x14ac:dyDescent="0.3">
      <c r="A39" s="766"/>
      <c r="B39" s="767"/>
      <c r="C39" s="767"/>
      <c r="D39" s="69" t="s">
        <v>29</v>
      </c>
      <c r="E39" s="73">
        <f t="shared" si="3"/>
        <v>20890.067659999997</v>
      </c>
      <c r="F39" s="123">
        <f>F37</f>
        <v>20890.067659999997</v>
      </c>
      <c r="G39" s="124"/>
      <c r="H39" s="281"/>
      <c r="I39" s="281">
        <v>0</v>
      </c>
      <c r="J39" s="281">
        <v>0</v>
      </c>
      <c r="K39" s="125">
        <v>0</v>
      </c>
    </row>
    <row r="40" spans="1:11" outlineLevel="1" x14ac:dyDescent="0.3">
      <c r="A40" s="766"/>
      <c r="B40" s="767"/>
      <c r="C40" s="767"/>
      <c r="D40" s="69" t="s">
        <v>30</v>
      </c>
      <c r="E40" s="73">
        <f t="shared" si="3"/>
        <v>20890.067659999997</v>
      </c>
      <c r="F40" s="123">
        <f>F37</f>
        <v>20890.067659999997</v>
      </c>
      <c r="G40" s="124"/>
      <c r="H40" s="281"/>
      <c r="I40" s="281">
        <v>0</v>
      </c>
      <c r="J40" s="281">
        <v>0</v>
      </c>
      <c r="K40" s="125">
        <v>0</v>
      </c>
    </row>
    <row r="41" spans="1:11" outlineLevel="1" x14ac:dyDescent="0.3">
      <c r="A41" s="766"/>
      <c r="B41" s="767"/>
      <c r="C41" s="767"/>
      <c r="D41" s="69" t="s">
        <v>31</v>
      </c>
      <c r="E41" s="73">
        <f t="shared" si="3"/>
        <v>20890.067659999997</v>
      </c>
      <c r="F41" s="123">
        <f>F37</f>
        <v>20890.067659999997</v>
      </c>
      <c r="G41" s="124"/>
      <c r="H41" s="281"/>
      <c r="I41" s="281">
        <v>0</v>
      </c>
      <c r="J41" s="281">
        <v>0</v>
      </c>
      <c r="K41" s="125">
        <v>0</v>
      </c>
    </row>
    <row r="42" spans="1:11" outlineLevel="1" x14ac:dyDescent="0.3">
      <c r="A42" s="766"/>
      <c r="B42" s="767"/>
      <c r="C42" s="767"/>
      <c r="D42" s="69" t="s">
        <v>32</v>
      </c>
      <c r="E42" s="73">
        <f t="shared" si="3"/>
        <v>20890.067659999997</v>
      </c>
      <c r="F42" s="123">
        <f>F37</f>
        <v>20890.067659999997</v>
      </c>
      <c r="G42" s="124"/>
      <c r="H42" s="281"/>
      <c r="I42" s="281">
        <v>0</v>
      </c>
      <c r="J42" s="281">
        <v>0</v>
      </c>
      <c r="K42" s="125">
        <v>0</v>
      </c>
    </row>
    <row r="43" spans="1:11" outlineLevel="1" x14ac:dyDescent="0.3">
      <c r="A43" s="766"/>
      <c r="B43" s="767"/>
      <c r="C43" s="767"/>
      <c r="D43" s="69" t="s">
        <v>33</v>
      </c>
      <c r="E43" s="73">
        <f t="shared" si="3"/>
        <v>20890.067659999997</v>
      </c>
      <c r="F43" s="123">
        <f>F37</f>
        <v>20890.067659999997</v>
      </c>
      <c r="G43" s="124"/>
      <c r="H43" s="281"/>
      <c r="I43" s="281">
        <v>0</v>
      </c>
      <c r="J43" s="281">
        <v>0</v>
      </c>
      <c r="K43" s="125">
        <v>0</v>
      </c>
    </row>
    <row r="44" spans="1:11" ht="15" outlineLevel="1" thickBot="1" x14ac:dyDescent="0.35">
      <c r="A44" s="766"/>
      <c r="B44" s="767"/>
      <c r="C44" s="767"/>
      <c r="D44" s="70" t="s">
        <v>34</v>
      </c>
      <c r="E44" s="74">
        <f t="shared" si="3"/>
        <v>20890.067659999997</v>
      </c>
      <c r="F44" s="126">
        <f>F37</f>
        <v>20890.067659999997</v>
      </c>
      <c r="G44" s="127"/>
      <c r="H44" s="282"/>
      <c r="I44" s="282">
        <v>0</v>
      </c>
      <c r="J44" s="282">
        <v>0</v>
      </c>
      <c r="K44" s="128">
        <v>0</v>
      </c>
    </row>
    <row r="45" spans="1:11" outlineLevel="1" x14ac:dyDescent="0.3">
      <c r="A45" s="766" t="s">
        <v>97</v>
      </c>
      <c r="B45" s="766" t="s">
        <v>95</v>
      </c>
      <c r="C45" s="767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280">
        <v>0</v>
      </c>
      <c r="I45" s="280">
        <v>0</v>
      </c>
      <c r="J45" s="280">
        <v>0</v>
      </c>
      <c r="K45" s="122">
        <v>0</v>
      </c>
    </row>
    <row r="46" spans="1:11" outlineLevel="1" x14ac:dyDescent="0.3">
      <c r="A46" s="766"/>
      <c r="B46" s="767"/>
      <c r="C46" s="767"/>
      <c r="D46" s="69" t="s">
        <v>26</v>
      </c>
      <c r="E46" s="73">
        <f t="shared" si="3"/>
        <v>0</v>
      </c>
      <c r="F46" s="123">
        <v>0</v>
      </c>
      <c r="G46" s="124">
        <v>0</v>
      </c>
      <c r="H46" s="281">
        <v>0</v>
      </c>
      <c r="I46" s="281">
        <v>0</v>
      </c>
      <c r="J46" s="281">
        <v>0</v>
      </c>
      <c r="K46" s="125">
        <v>0</v>
      </c>
    </row>
    <row r="47" spans="1:11" outlineLevel="1" x14ac:dyDescent="0.3">
      <c r="A47" s="766"/>
      <c r="B47" s="767"/>
      <c r="C47" s="767"/>
      <c r="D47" s="69" t="s">
        <v>27</v>
      </c>
      <c r="E47" s="73">
        <f t="shared" si="3"/>
        <v>0</v>
      </c>
      <c r="F47" s="123">
        <v>0</v>
      </c>
      <c r="G47" s="124">
        <v>0</v>
      </c>
      <c r="H47" s="281">
        <v>0</v>
      </c>
      <c r="I47" s="281">
        <v>0</v>
      </c>
      <c r="J47" s="281">
        <v>0</v>
      </c>
      <c r="K47" s="125">
        <v>0</v>
      </c>
    </row>
    <row r="48" spans="1:11" outlineLevel="1" x14ac:dyDescent="0.3">
      <c r="A48" s="766"/>
      <c r="B48" s="767"/>
      <c r="C48" s="767"/>
      <c r="D48" s="69" t="s">
        <v>28</v>
      </c>
      <c r="E48" s="73">
        <f t="shared" si="3"/>
        <v>0</v>
      </c>
      <c r="F48" s="123">
        <v>0</v>
      </c>
      <c r="G48" s="124">
        <v>0</v>
      </c>
      <c r="H48" s="281">
        <v>0</v>
      </c>
      <c r="I48" s="281">
        <v>0</v>
      </c>
      <c r="J48" s="281">
        <v>0</v>
      </c>
      <c r="K48" s="125">
        <v>0</v>
      </c>
    </row>
    <row r="49" spans="1:11" outlineLevel="1" x14ac:dyDescent="0.3">
      <c r="A49" s="766"/>
      <c r="B49" s="767"/>
      <c r="C49" s="767"/>
      <c r="D49" s="69" t="s">
        <v>29</v>
      </c>
      <c r="E49" s="73">
        <f t="shared" si="3"/>
        <v>0</v>
      </c>
      <c r="F49" s="123">
        <v>0</v>
      </c>
      <c r="G49" s="124">
        <v>0</v>
      </c>
      <c r="H49" s="281">
        <v>0</v>
      </c>
      <c r="I49" s="281">
        <v>0</v>
      </c>
      <c r="J49" s="281">
        <v>0</v>
      </c>
      <c r="K49" s="125">
        <v>0</v>
      </c>
    </row>
    <row r="50" spans="1:11" outlineLevel="1" x14ac:dyDescent="0.3">
      <c r="A50" s="766"/>
      <c r="B50" s="767"/>
      <c r="C50" s="767"/>
      <c r="D50" s="69" t="s">
        <v>30</v>
      </c>
      <c r="E50" s="73">
        <f t="shared" si="3"/>
        <v>0</v>
      </c>
      <c r="F50" s="123">
        <v>0</v>
      </c>
      <c r="G50" s="124">
        <v>0</v>
      </c>
      <c r="H50" s="281">
        <v>0</v>
      </c>
      <c r="I50" s="281">
        <v>0</v>
      </c>
      <c r="J50" s="281">
        <v>0</v>
      </c>
      <c r="K50" s="125">
        <v>0</v>
      </c>
    </row>
    <row r="51" spans="1:11" outlineLevel="1" x14ac:dyDescent="0.3">
      <c r="A51" s="766"/>
      <c r="B51" s="767"/>
      <c r="C51" s="767"/>
      <c r="D51" s="69" t="s">
        <v>31</v>
      </c>
      <c r="E51" s="73">
        <f t="shared" si="3"/>
        <v>0</v>
      </c>
      <c r="F51" s="123">
        <v>0</v>
      </c>
      <c r="G51" s="124">
        <v>0</v>
      </c>
      <c r="H51" s="281">
        <v>0</v>
      </c>
      <c r="I51" s="281">
        <v>0</v>
      </c>
      <c r="J51" s="281">
        <v>0</v>
      </c>
      <c r="K51" s="125">
        <v>0</v>
      </c>
    </row>
    <row r="52" spans="1:11" outlineLevel="1" x14ac:dyDescent="0.3">
      <c r="A52" s="766"/>
      <c r="B52" s="767"/>
      <c r="C52" s="767"/>
      <c r="D52" s="69" t="s">
        <v>32</v>
      </c>
      <c r="E52" s="73">
        <f t="shared" si="3"/>
        <v>0</v>
      </c>
      <c r="F52" s="123">
        <v>0</v>
      </c>
      <c r="G52" s="124">
        <v>0</v>
      </c>
      <c r="H52" s="281">
        <v>0</v>
      </c>
      <c r="I52" s="281">
        <v>0</v>
      </c>
      <c r="J52" s="281">
        <v>0</v>
      </c>
      <c r="K52" s="125">
        <v>0</v>
      </c>
    </row>
    <row r="53" spans="1:11" outlineLevel="1" x14ac:dyDescent="0.3">
      <c r="A53" s="766"/>
      <c r="B53" s="767"/>
      <c r="C53" s="767"/>
      <c r="D53" s="69" t="s">
        <v>33</v>
      </c>
      <c r="E53" s="73">
        <f t="shared" si="3"/>
        <v>0</v>
      </c>
      <c r="F53" s="123">
        <v>0</v>
      </c>
      <c r="G53" s="124">
        <v>0</v>
      </c>
      <c r="H53" s="281">
        <v>0</v>
      </c>
      <c r="I53" s="281">
        <v>0</v>
      </c>
      <c r="J53" s="281">
        <v>0</v>
      </c>
      <c r="K53" s="125">
        <v>0</v>
      </c>
    </row>
    <row r="54" spans="1:11" ht="15" outlineLevel="1" thickBot="1" x14ac:dyDescent="0.35">
      <c r="A54" s="766"/>
      <c r="B54" s="767"/>
      <c r="C54" s="767"/>
      <c r="D54" s="70" t="s">
        <v>34</v>
      </c>
      <c r="E54" s="74">
        <f t="shared" si="3"/>
        <v>0</v>
      </c>
      <c r="F54" s="126">
        <v>0</v>
      </c>
      <c r="G54" s="127">
        <v>0</v>
      </c>
      <c r="H54" s="282">
        <v>0</v>
      </c>
      <c r="I54" s="282">
        <v>0</v>
      </c>
      <c r="J54" s="282">
        <v>0</v>
      </c>
      <c r="K54" s="128">
        <v>0</v>
      </c>
    </row>
    <row r="55" spans="1:11" outlineLevel="1" x14ac:dyDescent="0.3">
      <c r="A55" s="766" t="s">
        <v>98</v>
      </c>
      <c r="B55" s="767"/>
      <c r="C55" s="767"/>
      <c r="D55" s="68" t="s">
        <v>25</v>
      </c>
      <c r="E55" s="73">
        <f t="shared" si="3"/>
        <v>0</v>
      </c>
      <c r="F55" s="120">
        <v>0</v>
      </c>
      <c r="G55" s="121">
        <v>0</v>
      </c>
      <c r="H55" s="280">
        <v>0</v>
      </c>
      <c r="I55" s="280">
        <v>0</v>
      </c>
      <c r="J55" s="280">
        <v>0</v>
      </c>
      <c r="K55" s="122">
        <v>0</v>
      </c>
    </row>
    <row r="56" spans="1:11" outlineLevel="1" x14ac:dyDescent="0.3">
      <c r="A56" s="766"/>
      <c r="B56" s="767"/>
      <c r="C56" s="767"/>
      <c r="D56" s="69" t="s">
        <v>26</v>
      </c>
      <c r="E56" s="73">
        <f t="shared" si="3"/>
        <v>0</v>
      </c>
      <c r="F56" s="123">
        <v>0</v>
      </c>
      <c r="G56" s="124">
        <v>0</v>
      </c>
      <c r="H56" s="281">
        <v>0</v>
      </c>
      <c r="I56" s="281">
        <v>0</v>
      </c>
      <c r="J56" s="281">
        <v>0</v>
      </c>
      <c r="K56" s="125">
        <v>0</v>
      </c>
    </row>
    <row r="57" spans="1:11" outlineLevel="1" x14ac:dyDescent="0.3">
      <c r="A57" s="766"/>
      <c r="B57" s="767"/>
      <c r="C57" s="767"/>
      <c r="D57" s="69" t="s">
        <v>27</v>
      </c>
      <c r="E57" s="73">
        <f t="shared" si="3"/>
        <v>0</v>
      </c>
      <c r="F57" s="123">
        <v>0</v>
      </c>
      <c r="G57" s="124">
        <v>0</v>
      </c>
      <c r="H57" s="281">
        <v>0</v>
      </c>
      <c r="I57" s="281">
        <v>0</v>
      </c>
      <c r="J57" s="281">
        <v>0</v>
      </c>
      <c r="K57" s="125">
        <v>0</v>
      </c>
    </row>
    <row r="58" spans="1:11" outlineLevel="1" x14ac:dyDescent="0.3">
      <c r="A58" s="766"/>
      <c r="B58" s="767"/>
      <c r="C58" s="767"/>
      <c r="D58" s="69" t="s">
        <v>28</v>
      </c>
      <c r="E58" s="73">
        <f t="shared" si="3"/>
        <v>0</v>
      </c>
      <c r="F58" s="123">
        <v>0</v>
      </c>
      <c r="G58" s="124">
        <v>0</v>
      </c>
      <c r="H58" s="281">
        <v>0</v>
      </c>
      <c r="I58" s="281">
        <v>0</v>
      </c>
      <c r="J58" s="281">
        <v>0</v>
      </c>
      <c r="K58" s="125">
        <v>0</v>
      </c>
    </row>
    <row r="59" spans="1:11" outlineLevel="1" x14ac:dyDescent="0.3">
      <c r="A59" s="766"/>
      <c r="B59" s="767"/>
      <c r="C59" s="767"/>
      <c r="D59" s="69" t="s">
        <v>29</v>
      </c>
      <c r="E59" s="73">
        <f t="shared" si="3"/>
        <v>0</v>
      </c>
      <c r="F59" s="123">
        <v>0</v>
      </c>
      <c r="G59" s="124">
        <v>0</v>
      </c>
      <c r="H59" s="281">
        <v>0</v>
      </c>
      <c r="I59" s="281">
        <v>0</v>
      </c>
      <c r="J59" s="281">
        <v>0</v>
      </c>
      <c r="K59" s="125">
        <v>0</v>
      </c>
    </row>
    <row r="60" spans="1:11" outlineLevel="1" x14ac:dyDescent="0.3">
      <c r="A60" s="766"/>
      <c r="B60" s="767"/>
      <c r="C60" s="767"/>
      <c r="D60" s="69" t="s">
        <v>30</v>
      </c>
      <c r="E60" s="73">
        <f t="shared" si="3"/>
        <v>0</v>
      </c>
      <c r="F60" s="123">
        <v>0</v>
      </c>
      <c r="G60" s="124">
        <v>0</v>
      </c>
      <c r="H60" s="281">
        <v>0</v>
      </c>
      <c r="I60" s="281">
        <v>0</v>
      </c>
      <c r="J60" s="281">
        <v>0</v>
      </c>
      <c r="K60" s="125">
        <v>0</v>
      </c>
    </row>
    <row r="61" spans="1:11" outlineLevel="1" x14ac:dyDescent="0.3">
      <c r="A61" s="766"/>
      <c r="B61" s="767"/>
      <c r="C61" s="767"/>
      <c r="D61" s="69" t="s">
        <v>31</v>
      </c>
      <c r="E61" s="73">
        <f t="shared" si="3"/>
        <v>0</v>
      </c>
      <c r="F61" s="123">
        <v>0</v>
      </c>
      <c r="G61" s="124">
        <v>0</v>
      </c>
      <c r="H61" s="281">
        <v>0</v>
      </c>
      <c r="I61" s="281">
        <v>0</v>
      </c>
      <c r="J61" s="281">
        <v>0</v>
      </c>
      <c r="K61" s="125">
        <v>0</v>
      </c>
    </row>
    <row r="62" spans="1:11" outlineLevel="1" x14ac:dyDescent="0.3">
      <c r="A62" s="766"/>
      <c r="B62" s="767"/>
      <c r="C62" s="767"/>
      <c r="D62" s="69" t="s">
        <v>32</v>
      </c>
      <c r="E62" s="73">
        <f t="shared" si="3"/>
        <v>0</v>
      </c>
      <c r="F62" s="123">
        <v>0</v>
      </c>
      <c r="G62" s="124">
        <v>0</v>
      </c>
      <c r="H62" s="281">
        <v>0</v>
      </c>
      <c r="I62" s="281">
        <v>0</v>
      </c>
      <c r="J62" s="281">
        <v>0</v>
      </c>
      <c r="K62" s="125">
        <v>0</v>
      </c>
    </row>
    <row r="63" spans="1:11" outlineLevel="1" x14ac:dyDescent="0.3">
      <c r="A63" s="766"/>
      <c r="B63" s="767"/>
      <c r="C63" s="767"/>
      <c r="D63" s="69" t="s">
        <v>33</v>
      </c>
      <c r="E63" s="73">
        <f t="shared" si="3"/>
        <v>0</v>
      </c>
      <c r="F63" s="123">
        <v>0</v>
      </c>
      <c r="G63" s="124">
        <v>0</v>
      </c>
      <c r="H63" s="281">
        <v>0</v>
      </c>
      <c r="I63" s="281">
        <v>0</v>
      </c>
      <c r="J63" s="281">
        <v>0</v>
      </c>
      <c r="K63" s="125">
        <v>0</v>
      </c>
    </row>
    <row r="64" spans="1:11" ht="15" outlineLevel="1" thickBot="1" x14ac:dyDescent="0.35">
      <c r="A64" s="766"/>
      <c r="B64" s="767"/>
      <c r="C64" s="767"/>
      <c r="D64" s="70" t="s">
        <v>34</v>
      </c>
      <c r="E64" s="74">
        <f t="shared" si="3"/>
        <v>0</v>
      </c>
      <c r="F64" s="126">
        <v>0</v>
      </c>
      <c r="G64" s="127">
        <v>0</v>
      </c>
      <c r="H64" s="282">
        <v>0</v>
      </c>
      <c r="I64" s="282">
        <v>0</v>
      </c>
      <c r="J64" s="282">
        <v>0</v>
      </c>
      <c r="K64" s="128">
        <v>0</v>
      </c>
    </row>
    <row r="65" spans="1:11" outlineLevel="1" x14ac:dyDescent="0.3">
      <c r="A65" s="766" t="s">
        <v>99</v>
      </c>
      <c r="B65" s="767"/>
      <c r="C65" s="767"/>
      <c r="D65" s="68" t="s">
        <v>25</v>
      </c>
      <c r="E65" s="73">
        <f t="shared" si="3"/>
        <v>0</v>
      </c>
      <c r="F65" s="120">
        <v>0</v>
      </c>
      <c r="G65" s="121">
        <v>0</v>
      </c>
      <c r="H65" s="280">
        <v>0</v>
      </c>
      <c r="I65" s="280">
        <v>0</v>
      </c>
      <c r="J65" s="280">
        <v>0</v>
      </c>
      <c r="K65" s="122">
        <v>0</v>
      </c>
    </row>
    <row r="66" spans="1:11" outlineLevel="1" x14ac:dyDescent="0.3">
      <c r="A66" s="766"/>
      <c r="B66" s="767"/>
      <c r="C66" s="767"/>
      <c r="D66" s="69" t="s">
        <v>26</v>
      </c>
      <c r="E66" s="73">
        <f t="shared" si="3"/>
        <v>0</v>
      </c>
      <c r="F66" s="123">
        <v>0</v>
      </c>
      <c r="G66" s="124">
        <v>0</v>
      </c>
      <c r="H66" s="281">
        <v>0</v>
      </c>
      <c r="I66" s="281">
        <v>0</v>
      </c>
      <c r="J66" s="281">
        <v>0</v>
      </c>
      <c r="K66" s="125">
        <v>0</v>
      </c>
    </row>
    <row r="67" spans="1:11" outlineLevel="1" x14ac:dyDescent="0.3">
      <c r="A67" s="766"/>
      <c r="B67" s="767"/>
      <c r="C67" s="767"/>
      <c r="D67" s="69" t="s">
        <v>27</v>
      </c>
      <c r="E67" s="73">
        <f t="shared" si="3"/>
        <v>0</v>
      </c>
      <c r="F67" s="123">
        <v>0</v>
      </c>
      <c r="G67" s="124">
        <v>0</v>
      </c>
      <c r="H67" s="281">
        <v>0</v>
      </c>
      <c r="I67" s="281">
        <v>0</v>
      </c>
      <c r="J67" s="281">
        <v>0</v>
      </c>
      <c r="K67" s="125">
        <v>0</v>
      </c>
    </row>
    <row r="68" spans="1:11" outlineLevel="1" x14ac:dyDescent="0.3">
      <c r="A68" s="766"/>
      <c r="B68" s="767"/>
      <c r="C68" s="767"/>
      <c r="D68" s="69" t="s">
        <v>28</v>
      </c>
      <c r="E68" s="73">
        <f t="shared" si="3"/>
        <v>0</v>
      </c>
      <c r="F68" s="123">
        <v>0</v>
      </c>
      <c r="G68" s="124">
        <v>0</v>
      </c>
      <c r="H68" s="281">
        <v>0</v>
      </c>
      <c r="I68" s="281">
        <v>0</v>
      </c>
      <c r="J68" s="281">
        <v>0</v>
      </c>
      <c r="K68" s="125">
        <v>0</v>
      </c>
    </row>
    <row r="69" spans="1:11" outlineLevel="1" x14ac:dyDescent="0.3">
      <c r="A69" s="766"/>
      <c r="B69" s="767"/>
      <c r="C69" s="767"/>
      <c r="D69" s="69" t="s">
        <v>29</v>
      </c>
      <c r="E69" s="73">
        <f t="shared" si="3"/>
        <v>0</v>
      </c>
      <c r="F69" s="123">
        <v>0</v>
      </c>
      <c r="G69" s="124">
        <v>0</v>
      </c>
      <c r="H69" s="281">
        <v>0</v>
      </c>
      <c r="I69" s="281">
        <v>0</v>
      </c>
      <c r="J69" s="281">
        <v>0</v>
      </c>
      <c r="K69" s="125">
        <v>0</v>
      </c>
    </row>
    <row r="70" spans="1:11" outlineLevel="1" x14ac:dyDescent="0.3">
      <c r="A70" s="766"/>
      <c r="B70" s="767"/>
      <c r="C70" s="767"/>
      <c r="D70" s="69" t="s">
        <v>30</v>
      </c>
      <c r="E70" s="73">
        <f t="shared" si="3"/>
        <v>0</v>
      </c>
      <c r="F70" s="123">
        <v>0</v>
      </c>
      <c r="G70" s="124">
        <v>0</v>
      </c>
      <c r="H70" s="281">
        <v>0</v>
      </c>
      <c r="I70" s="281">
        <v>0</v>
      </c>
      <c r="J70" s="281">
        <v>0</v>
      </c>
      <c r="K70" s="125">
        <v>0</v>
      </c>
    </row>
    <row r="71" spans="1:11" outlineLevel="1" x14ac:dyDescent="0.3">
      <c r="A71" s="766"/>
      <c r="B71" s="767"/>
      <c r="C71" s="767"/>
      <c r="D71" s="69" t="s">
        <v>31</v>
      </c>
      <c r="E71" s="73">
        <f t="shared" si="3"/>
        <v>0</v>
      </c>
      <c r="F71" s="123">
        <v>0</v>
      </c>
      <c r="G71" s="124">
        <v>0</v>
      </c>
      <c r="H71" s="281">
        <v>0</v>
      </c>
      <c r="I71" s="281">
        <v>0</v>
      </c>
      <c r="J71" s="281">
        <v>0</v>
      </c>
      <c r="K71" s="125">
        <v>0</v>
      </c>
    </row>
    <row r="72" spans="1:11" outlineLevel="1" x14ac:dyDescent="0.3">
      <c r="A72" s="766"/>
      <c r="B72" s="767"/>
      <c r="C72" s="767"/>
      <c r="D72" s="69" t="s">
        <v>32</v>
      </c>
      <c r="E72" s="73">
        <f t="shared" si="3"/>
        <v>0</v>
      </c>
      <c r="F72" s="123">
        <v>0</v>
      </c>
      <c r="G72" s="124">
        <v>0</v>
      </c>
      <c r="H72" s="281">
        <v>0</v>
      </c>
      <c r="I72" s="281">
        <v>0</v>
      </c>
      <c r="J72" s="281">
        <v>0</v>
      </c>
      <c r="K72" s="125">
        <v>0</v>
      </c>
    </row>
    <row r="73" spans="1:11" outlineLevel="1" x14ac:dyDescent="0.3">
      <c r="A73" s="766"/>
      <c r="B73" s="767"/>
      <c r="C73" s="767"/>
      <c r="D73" s="69" t="s">
        <v>33</v>
      </c>
      <c r="E73" s="73">
        <f t="shared" si="3"/>
        <v>0</v>
      </c>
      <c r="F73" s="123">
        <v>0</v>
      </c>
      <c r="G73" s="124">
        <v>0</v>
      </c>
      <c r="H73" s="281">
        <v>0</v>
      </c>
      <c r="I73" s="281">
        <v>0</v>
      </c>
      <c r="J73" s="281">
        <v>0</v>
      </c>
      <c r="K73" s="125">
        <v>0</v>
      </c>
    </row>
    <row r="74" spans="1:11" ht="15" outlineLevel="1" thickBot="1" x14ac:dyDescent="0.35">
      <c r="A74" s="766"/>
      <c r="B74" s="767"/>
      <c r="C74" s="767"/>
      <c r="D74" s="70" t="s">
        <v>34</v>
      </c>
      <c r="E74" s="74">
        <f t="shared" si="3"/>
        <v>0</v>
      </c>
      <c r="F74" s="126">
        <v>0</v>
      </c>
      <c r="G74" s="127">
        <v>0</v>
      </c>
      <c r="H74" s="282">
        <v>0</v>
      </c>
      <c r="I74" s="282">
        <v>0</v>
      </c>
      <c r="J74" s="282">
        <v>0</v>
      </c>
      <c r="K74" s="128">
        <v>0</v>
      </c>
    </row>
    <row r="75" spans="1:11" outlineLevel="1" x14ac:dyDescent="0.3">
      <c r="A75" s="766" t="s">
        <v>94</v>
      </c>
      <c r="B75" s="767" t="s">
        <v>80</v>
      </c>
      <c r="C75" s="767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280">
        <v>0</v>
      </c>
      <c r="I75" s="280">
        <v>0</v>
      </c>
      <c r="J75" s="280">
        <v>0</v>
      </c>
      <c r="K75" s="122">
        <v>0</v>
      </c>
    </row>
    <row r="76" spans="1:11" outlineLevel="1" x14ac:dyDescent="0.3">
      <c r="A76" s="766"/>
      <c r="B76" s="767"/>
      <c r="C76" s="767"/>
      <c r="D76" s="69" t="s">
        <v>26</v>
      </c>
      <c r="E76" s="73">
        <f t="shared" si="3"/>
        <v>0</v>
      </c>
      <c r="F76" s="123">
        <v>0</v>
      </c>
      <c r="G76" s="124">
        <v>0</v>
      </c>
      <c r="H76" s="281">
        <v>0</v>
      </c>
      <c r="I76" s="281">
        <v>0</v>
      </c>
      <c r="J76" s="281">
        <v>0</v>
      </c>
      <c r="K76" s="125">
        <v>0</v>
      </c>
    </row>
    <row r="77" spans="1:11" outlineLevel="1" x14ac:dyDescent="0.3">
      <c r="A77" s="766"/>
      <c r="B77" s="767"/>
      <c r="C77" s="767"/>
      <c r="D77" s="69" t="s">
        <v>27</v>
      </c>
      <c r="E77" s="73">
        <f t="shared" si="3"/>
        <v>0</v>
      </c>
      <c r="F77" s="123">
        <v>0</v>
      </c>
      <c r="G77" s="124">
        <v>0</v>
      </c>
      <c r="H77" s="281">
        <v>0</v>
      </c>
      <c r="I77" s="281">
        <v>0</v>
      </c>
      <c r="J77" s="281">
        <v>0</v>
      </c>
      <c r="K77" s="125">
        <v>0</v>
      </c>
    </row>
    <row r="78" spans="1:11" outlineLevel="1" x14ac:dyDescent="0.3">
      <c r="A78" s="766"/>
      <c r="B78" s="767"/>
      <c r="C78" s="767"/>
      <c r="D78" s="69" t="s">
        <v>28</v>
      </c>
      <c r="E78" s="73">
        <f t="shared" si="3"/>
        <v>0</v>
      </c>
      <c r="F78" s="123">
        <v>0</v>
      </c>
      <c r="G78" s="124">
        <v>0</v>
      </c>
      <c r="H78" s="281">
        <v>0</v>
      </c>
      <c r="I78" s="281">
        <v>0</v>
      </c>
      <c r="J78" s="281">
        <v>0</v>
      </c>
      <c r="K78" s="125">
        <v>0</v>
      </c>
    </row>
    <row r="79" spans="1:11" outlineLevel="1" x14ac:dyDescent="0.3">
      <c r="A79" s="766"/>
      <c r="B79" s="767"/>
      <c r="C79" s="767"/>
      <c r="D79" s="69" t="s">
        <v>29</v>
      </c>
      <c r="E79" s="73">
        <f t="shared" si="3"/>
        <v>0</v>
      </c>
      <c r="F79" s="123">
        <v>0</v>
      </c>
      <c r="G79" s="124">
        <v>0</v>
      </c>
      <c r="H79" s="281">
        <v>0</v>
      </c>
      <c r="I79" s="281">
        <v>0</v>
      </c>
      <c r="J79" s="281">
        <v>0</v>
      </c>
      <c r="K79" s="125">
        <v>0</v>
      </c>
    </row>
    <row r="80" spans="1:11" outlineLevel="1" x14ac:dyDescent="0.3">
      <c r="A80" s="766"/>
      <c r="B80" s="767"/>
      <c r="C80" s="767"/>
      <c r="D80" s="69" t="s">
        <v>30</v>
      </c>
      <c r="E80" s="73">
        <f t="shared" si="3"/>
        <v>0</v>
      </c>
      <c r="F80" s="123">
        <v>0</v>
      </c>
      <c r="G80" s="124">
        <v>0</v>
      </c>
      <c r="H80" s="281">
        <v>0</v>
      </c>
      <c r="I80" s="281">
        <v>0</v>
      </c>
      <c r="J80" s="281">
        <v>0</v>
      </c>
      <c r="K80" s="125">
        <v>0</v>
      </c>
    </row>
    <row r="81" spans="1:11" outlineLevel="1" x14ac:dyDescent="0.3">
      <c r="A81" s="766"/>
      <c r="B81" s="767"/>
      <c r="C81" s="767"/>
      <c r="D81" s="69" t="s">
        <v>31</v>
      </c>
      <c r="E81" s="73">
        <f t="shared" si="3"/>
        <v>0</v>
      </c>
      <c r="F81" s="123">
        <v>0</v>
      </c>
      <c r="G81" s="124">
        <v>0</v>
      </c>
      <c r="H81" s="281">
        <v>0</v>
      </c>
      <c r="I81" s="281">
        <v>0</v>
      </c>
      <c r="J81" s="281">
        <v>0</v>
      </c>
      <c r="K81" s="125">
        <v>0</v>
      </c>
    </row>
    <row r="82" spans="1:11" outlineLevel="1" x14ac:dyDescent="0.3">
      <c r="A82" s="766"/>
      <c r="B82" s="767"/>
      <c r="C82" s="767"/>
      <c r="D82" s="69" t="s">
        <v>32</v>
      </c>
      <c r="E82" s="73">
        <f t="shared" si="3"/>
        <v>0</v>
      </c>
      <c r="F82" s="123">
        <v>0</v>
      </c>
      <c r="G82" s="124">
        <v>0</v>
      </c>
      <c r="H82" s="281">
        <v>0</v>
      </c>
      <c r="I82" s="281">
        <v>0</v>
      </c>
      <c r="J82" s="281">
        <v>0</v>
      </c>
      <c r="K82" s="125">
        <v>0</v>
      </c>
    </row>
    <row r="83" spans="1:11" outlineLevel="1" x14ac:dyDescent="0.3">
      <c r="A83" s="766"/>
      <c r="B83" s="767"/>
      <c r="C83" s="767"/>
      <c r="D83" s="69" t="s">
        <v>33</v>
      </c>
      <c r="E83" s="73">
        <f t="shared" si="3"/>
        <v>0</v>
      </c>
      <c r="F83" s="123">
        <v>0</v>
      </c>
      <c r="G83" s="124">
        <v>0</v>
      </c>
      <c r="H83" s="281">
        <v>0</v>
      </c>
      <c r="I83" s="281">
        <v>0</v>
      </c>
      <c r="J83" s="281">
        <v>0</v>
      </c>
      <c r="K83" s="125">
        <v>0</v>
      </c>
    </row>
    <row r="84" spans="1:11" ht="15" outlineLevel="1" thickBot="1" x14ac:dyDescent="0.35">
      <c r="A84" s="766"/>
      <c r="B84" s="767"/>
      <c r="C84" s="767"/>
      <c r="D84" s="70" t="s">
        <v>34</v>
      </c>
      <c r="E84" s="74">
        <f t="shared" si="3"/>
        <v>0</v>
      </c>
      <c r="F84" s="126">
        <v>0</v>
      </c>
      <c r="G84" s="127">
        <v>0</v>
      </c>
      <c r="H84" s="282">
        <v>0</v>
      </c>
      <c r="I84" s="282">
        <v>0</v>
      </c>
      <c r="J84" s="282">
        <v>0</v>
      </c>
      <c r="K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6023-3D4C-4E3E-A12B-344586F7FFF0}">
  <sheetPr>
    <tabColor rgb="FFFFFFCC"/>
  </sheetPr>
  <dimension ref="A1:K32"/>
  <sheetViews>
    <sheetView tabSelected="1" topLeftCell="A7" zoomScale="90" zoomScaleNormal="90" workbookViewId="0">
      <selection activeCell="M22" sqref="M22"/>
    </sheetView>
  </sheetViews>
  <sheetFormatPr defaultColWidth="8.88671875" defaultRowHeight="14.4" x14ac:dyDescent="0.3"/>
  <cols>
    <col min="1" max="1" width="22.109375" customWidth="1"/>
    <col min="2" max="2" width="54.109375" style="628" customWidth="1"/>
    <col min="3" max="3" width="8.6640625" style="628" customWidth="1"/>
    <col min="4" max="4" width="18.109375" style="629" customWidth="1"/>
    <col min="5" max="5" width="13" style="628" customWidth="1"/>
    <col min="6" max="6" width="16.88671875" style="628" customWidth="1"/>
    <col min="7" max="7" width="19.88671875" style="628" customWidth="1"/>
    <col min="8" max="8" width="13.6640625" hidden="1" customWidth="1"/>
    <col min="9" max="9" width="8.88671875" style="608"/>
  </cols>
  <sheetData>
    <row r="1" spans="1:10" ht="21.6" thickTop="1" thickBot="1" x14ac:dyDescent="0.35">
      <c r="A1" s="609" t="s">
        <v>361</v>
      </c>
      <c r="B1" s="610" t="s">
        <v>362</v>
      </c>
      <c r="C1" s="610" t="s">
        <v>363</v>
      </c>
      <c r="D1" s="610" t="s">
        <v>364</v>
      </c>
      <c r="E1" s="610" t="s">
        <v>365</v>
      </c>
      <c r="F1" s="610" t="s">
        <v>366</v>
      </c>
      <c r="G1" s="611" t="s">
        <v>367</v>
      </c>
      <c r="H1" s="612"/>
    </row>
    <row r="2" spans="1:10" ht="14.4" customHeight="1" x14ac:dyDescent="0.3">
      <c r="A2" s="613" t="s">
        <v>352</v>
      </c>
      <c r="B2" s="613" t="s">
        <v>353</v>
      </c>
      <c r="C2" s="613" t="s">
        <v>368</v>
      </c>
      <c r="D2" s="614">
        <f>VLOOKUP(B2,Limity!$A$3:$B$14,2,FALSE)</f>
        <v>650</v>
      </c>
      <c r="E2" s="613">
        <v>14.25</v>
      </c>
      <c r="F2" s="615">
        <f t="shared" ref="F2:F6" si="0">D2*E2</f>
        <v>9262.5</v>
      </c>
      <c r="G2" s="616">
        <f>F2*1.2</f>
        <v>11115</v>
      </c>
      <c r="H2" s="617"/>
    </row>
    <row r="3" spans="1:10" ht="14.4" customHeight="1" x14ac:dyDescent="0.3">
      <c r="A3" s="613" t="s">
        <v>352</v>
      </c>
      <c r="B3" s="618" t="s">
        <v>369</v>
      </c>
      <c r="C3" s="618" t="s">
        <v>368</v>
      </c>
      <c r="D3" s="614">
        <f>VLOOKUP(B3,Limity!$A$3:$B$14,2,FALSE)</f>
        <v>740</v>
      </c>
      <c r="E3" s="618">
        <v>4.75</v>
      </c>
      <c r="F3" s="615">
        <f t="shared" si="0"/>
        <v>3515</v>
      </c>
      <c r="G3" s="619">
        <f>F3*1.2</f>
        <v>4218</v>
      </c>
      <c r="H3" s="620"/>
    </row>
    <row r="4" spans="1:10" ht="14.4" customHeight="1" x14ac:dyDescent="0.3">
      <c r="A4" s="613" t="s">
        <v>352</v>
      </c>
      <c r="B4" s="618" t="s">
        <v>354</v>
      </c>
      <c r="C4" s="618" t="s">
        <v>368</v>
      </c>
      <c r="D4" s="614">
        <f>VLOOKUP(B4,Limity!$A$3:$B$14,2,FALSE)</f>
        <v>500</v>
      </c>
      <c r="E4" s="618">
        <v>34</v>
      </c>
      <c r="F4" s="615">
        <f t="shared" si="0"/>
        <v>17000</v>
      </c>
      <c r="G4" s="619">
        <f t="shared" ref="G4:G17" si="1">F4*1.2</f>
        <v>20400</v>
      </c>
      <c r="H4" s="620"/>
    </row>
    <row r="5" spans="1:10" s="608" customFormat="1" ht="14.4" customHeight="1" x14ac:dyDescent="0.3">
      <c r="A5" s="613" t="s">
        <v>352</v>
      </c>
      <c r="B5" s="618" t="s">
        <v>370</v>
      </c>
      <c r="C5" s="618" t="s">
        <v>368</v>
      </c>
      <c r="D5" s="614">
        <f>VLOOKUP(B5,Limity!$A$3:$B$14,2,FALSE)</f>
        <v>520</v>
      </c>
      <c r="E5" s="618">
        <v>10.5</v>
      </c>
      <c r="F5" s="615">
        <f t="shared" si="0"/>
        <v>5460</v>
      </c>
      <c r="G5" s="619">
        <f t="shared" si="1"/>
        <v>6552</v>
      </c>
      <c r="H5" s="620"/>
      <c r="J5"/>
    </row>
    <row r="6" spans="1:10" ht="15" thickBot="1" x14ac:dyDescent="0.35">
      <c r="A6" s="613" t="s">
        <v>352</v>
      </c>
      <c r="B6" s="618" t="s">
        <v>371</v>
      </c>
      <c r="C6" s="618" t="s">
        <v>368</v>
      </c>
      <c r="D6" s="614">
        <f>VLOOKUP(B6,Limity!$A$3:$B$14,2,FALSE)</f>
        <v>590</v>
      </c>
      <c r="E6" s="618">
        <v>2.75</v>
      </c>
      <c r="F6" s="615">
        <f t="shared" si="0"/>
        <v>1622.5</v>
      </c>
      <c r="G6" s="619">
        <f t="shared" si="1"/>
        <v>1947</v>
      </c>
      <c r="H6" s="620"/>
    </row>
    <row r="7" spans="1:10" ht="21.9" customHeight="1" thickBot="1" x14ac:dyDescent="0.35">
      <c r="A7" s="652"/>
      <c r="B7" s="653"/>
      <c r="C7" s="653"/>
      <c r="D7" s="654"/>
      <c r="E7" s="655"/>
      <c r="F7" s="656">
        <f>SUM(F2:F6)</f>
        <v>36860</v>
      </c>
      <c r="G7" s="657">
        <f>SUM(G2:G6)</f>
        <v>44232</v>
      </c>
      <c r="H7" s="621"/>
      <c r="I7" s="608">
        <f>G7/G24</f>
        <v>0.29106702201164741</v>
      </c>
      <c r="J7" t="s">
        <v>405</v>
      </c>
    </row>
    <row r="8" spans="1:10" ht="16.5" customHeight="1" x14ac:dyDescent="0.3">
      <c r="A8" s="613" t="s">
        <v>356</v>
      </c>
      <c r="B8" s="618" t="s">
        <v>372</v>
      </c>
      <c r="C8" s="622" t="s">
        <v>368</v>
      </c>
      <c r="D8" s="614">
        <f>VLOOKUP(B8,Limity!$A$3:$B$14,2,FALSE)</f>
        <v>520</v>
      </c>
      <c r="E8" s="622">
        <v>63</v>
      </c>
      <c r="F8" s="623">
        <f t="shared" ref="F8:F11" si="2">D8*E8</f>
        <v>32760</v>
      </c>
      <c r="G8" s="616">
        <f t="shared" si="1"/>
        <v>39312</v>
      </c>
      <c r="H8" s="617"/>
    </row>
    <row r="9" spans="1:10" ht="17.25" customHeight="1" x14ac:dyDescent="0.3">
      <c r="A9" s="613" t="s">
        <v>356</v>
      </c>
      <c r="B9" s="618" t="s">
        <v>369</v>
      </c>
      <c r="C9" s="618" t="s">
        <v>368</v>
      </c>
      <c r="D9" s="614">
        <f>VLOOKUP(B9,Limity!$A$3:$B$14,2,FALSE)</f>
        <v>740</v>
      </c>
      <c r="E9" s="618">
        <v>6</v>
      </c>
      <c r="F9" s="615">
        <f t="shared" si="2"/>
        <v>4440</v>
      </c>
      <c r="G9" s="619">
        <f t="shared" si="1"/>
        <v>5328</v>
      </c>
      <c r="H9" s="620"/>
    </row>
    <row r="10" spans="1:10" ht="16.5" customHeight="1" x14ac:dyDescent="0.3">
      <c r="A10" s="613" t="s">
        <v>356</v>
      </c>
      <c r="B10" s="618" t="s">
        <v>370</v>
      </c>
      <c r="C10" s="618" t="s">
        <v>368</v>
      </c>
      <c r="D10" s="614">
        <f>VLOOKUP(B10,Limity!$A$3:$B$14,2,FALSE)</f>
        <v>520</v>
      </c>
      <c r="E10" s="618">
        <v>14.5</v>
      </c>
      <c r="F10" s="615">
        <f t="shared" si="2"/>
        <v>7540</v>
      </c>
      <c r="G10" s="619">
        <f t="shared" si="1"/>
        <v>9048</v>
      </c>
      <c r="H10" s="620"/>
    </row>
    <row r="11" spans="1:10" ht="16.5" customHeight="1" thickBot="1" x14ac:dyDescent="0.35">
      <c r="A11" s="613" t="s">
        <v>356</v>
      </c>
      <c r="B11" s="618" t="s">
        <v>371</v>
      </c>
      <c r="C11" s="618" t="s">
        <v>368</v>
      </c>
      <c r="D11" s="614">
        <f>VLOOKUP(B11,Limity!$A$3:$B$14,2,FALSE)</f>
        <v>590</v>
      </c>
      <c r="E11" s="618">
        <v>3.25</v>
      </c>
      <c r="F11" s="615">
        <f t="shared" si="2"/>
        <v>1917.5</v>
      </c>
      <c r="G11" s="619">
        <f t="shared" si="1"/>
        <v>2301</v>
      </c>
      <c r="H11" s="620"/>
    </row>
    <row r="12" spans="1:10" ht="17.25" customHeight="1" thickBot="1" x14ac:dyDescent="0.35">
      <c r="A12" s="652"/>
      <c r="B12" s="653"/>
      <c r="C12" s="653"/>
      <c r="D12" s="654"/>
      <c r="E12" s="655"/>
      <c r="F12" s="656">
        <f>SUM(F8:F11)</f>
        <v>46657.5</v>
      </c>
      <c r="G12" s="657">
        <f>SUM(G8:G11)</f>
        <v>55989</v>
      </c>
      <c r="H12" s="621"/>
      <c r="I12" s="608">
        <f>G12/G24</f>
        <v>0.3684335208765176</v>
      </c>
      <c r="J12" t="s">
        <v>405</v>
      </c>
    </row>
    <row r="13" spans="1:10" ht="14.4" customHeight="1" x14ac:dyDescent="0.3">
      <c r="A13" s="613" t="s">
        <v>357</v>
      </c>
      <c r="B13" s="618" t="s">
        <v>355</v>
      </c>
      <c r="C13" s="618" t="s">
        <v>368</v>
      </c>
      <c r="D13" s="614">
        <f>VLOOKUP(B13,Limity!$A$3:$B$14,2,FALSE)</f>
        <v>450</v>
      </c>
      <c r="E13" s="622">
        <v>23.25</v>
      </c>
      <c r="F13" s="623">
        <f t="shared" ref="F13:F18" si="3">D13*E13</f>
        <v>10462.5</v>
      </c>
      <c r="G13" s="616">
        <f t="shared" si="1"/>
        <v>12555</v>
      </c>
    </row>
    <row r="14" spans="1:10" ht="16.5" customHeight="1" x14ac:dyDescent="0.3">
      <c r="A14" s="613" t="s">
        <v>357</v>
      </c>
      <c r="B14" s="618" t="s">
        <v>373</v>
      </c>
      <c r="C14" s="618" t="s">
        <v>368</v>
      </c>
      <c r="D14" s="614">
        <f>VLOOKUP(B14,Limity!$A$3:$B$14,2,FALSE)</f>
        <v>530</v>
      </c>
      <c r="E14" s="618">
        <v>9.5</v>
      </c>
      <c r="F14" s="615">
        <f t="shared" si="3"/>
        <v>5035</v>
      </c>
      <c r="G14" s="619">
        <f t="shared" si="1"/>
        <v>6042</v>
      </c>
    </row>
    <row r="15" spans="1:10" ht="16.5" customHeight="1" x14ac:dyDescent="0.3">
      <c r="A15" s="613" t="s">
        <v>357</v>
      </c>
      <c r="B15" s="618" t="s">
        <v>354</v>
      </c>
      <c r="C15" s="618" t="s">
        <v>368</v>
      </c>
      <c r="D15" s="614">
        <f>VLOOKUP(B15,Limity!$A$3:$B$14,2,FALSE)</f>
        <v>500</v>
      </c>
      <c r="E15" s="618">
        <v>7.5</v>
      </c>
      <c r="F15" s="615">
        <f t="shared" si="3"/>
        <v>3750</v>
      </c>
      <c r="G15" s="619">
        <f t="shared" si="1"/>
        <v>4500</v>
      </c>
    </row>
    <row r="16" spans="1:10" ht="16.5" customHeight="1" x14ac:dyDescent="0.3">
      <c r="A16" s="613" t="s">
        <v>357</v>
      </c>
      <c r="B16" s="618" t="s">
        <v>358</v>
      </c>
      <c r="C16" s="618" t="s">
        <v>368</v>
      </c>
      <c r="D16" s="614">
        <f>VLOOKUP(B16,Limity!$A$3:$B$14,2,FALSE)</f>
        <v>470</v>
      </c>
      <c r="E16" s="618">
        <v>5.25</v>
      </c>
      <c r="F16" s="615">
        <f t="shared" si="3"/>
        <v>2467.5</v>
      </c>
      <c r="G16" s="619">
        <f t="shared" si="1"/>
        <v>2961</v>
      </c>
    </row>
    <row r="17" spans="1:11" ht="16.5" customHeight="1" x14ac:dyDescent="0.3">
      <c r="A17" s="613" t="s">
        <v>357</v>
      </c>
      <c r="B17" s="618" t="s">
        <v>369</v>
      </c>
      <c r="C17" s="618" t="s">
        <v>368</v>
      </c>
      <c r="D17" s="614">
        <f>VLOOKUP(B17,Limity!$A$3:$B$14,2,FALSE)</f>
        <v>740</v>
      </c>
      <c r="E17" s="618">
        <v>3.5</v>
      </c>
      <c r="F17" s="615">
        <f t="shared" si="3"/>
        <v>2590</v>
      </c>
      <c r="G17" s="619">
        <f t="shared" si="1"/>
        <v>3108</v>
      </c>
    </row>
    <row r="18" spans="1:11" ht="16.5" customHeight="1" thickBot="1" x14ac:dyDescent="0.35">
      <c r="A18" s="613" t="s">
        <v>357</v>
      </c>
      <c r="B18" s="618" t="s">
        <v>371</v>
      </c>
      <c r="C18" s="618" t="s">
        <v>368</v>
      </c>
      <c r="D18" s="614">
        <f>VLOOKUP(B18,Limity!$A$3:$B$14,2,FALSE)</f>
        <v>590</v>
      </c>
      <c r="E18" s="618">
        <v>2</v>
      </c>
      <c r="F18" s="615">
        <f t="shared" si="3"/>
        <v>1180</v>
      </c>
      <c r="G18" s="619">
        <f t="shared" ref="G18" si="4">F18*1.2</f>
        <v>1416</v>
      </c>
      <c r="H18" s="624"/>
    </row>
    <row r="19" spans="1:11" ht="16.5" customHeight="1" thickBot="1" x14ac:dyDescent="0.35">
      <c r="A19" s="652"/>
      <c r="B19" s="653"/>
      <c r="C19" s="653"/>
      <c r="D19" s="654"/>
      <c r="E19" s="655"/>
      <c r="F19" s="656">
        <f>SUM(F13:F18)</f>
        <v>25485</v>
      </c>
      <c r="G19" s="657">
        <f>SUM(G13:G18)</f>
        <v>30582</v>
      </c>
      <c r="H19" s="621"/>
      <c r="I19" s="608">
        <f>G19/G24</f>
        <v>0.20124370743263251</v>
      </c>
      <c r="J19" t="s">
        <v>405</v>
      </c>
    </row>
    <row r="20" spans="1:11" ht="14.4" customHeight="1" x14ac:dyDescent="0.3">
      <c r="A20" s="613" t="s">
        <v>359</v>
      </c>
      <c r="B20" s="618" t="s">
        <v>373</v>
      </c>
      <c r="C20" s="618" t="s">
        <v>368</v>
      </c>
      <c r="D20" s="614">
        <f>VLOOKUP(B20,Limity!$A$3:$B$14,2,FALSE)</f>
        <v>530</v>
      </c>
      <c r="E20" s="618">
        <v>25.25</v>
      </c>
      <c r="F20" s="615">
        <f t="shared" ref="F20:F22" si="5">D20*E20</f>
        <v>13382.5</v>
      </c>
      <c r="G20" s="619">
        <f t="shared" ref="G20:G22" si="6">F20*1.2</f>
        <v>16059</v>
      </c>
      <c r="H20" s="620"/>
    </row>
    <row r="21" spans="1:11" ht="14.4" customHeight="1" x14ac:dyDescent="0.3">
      <c r="A21" s="613" t="s">
        <v>359</v>
      </c>
      <c r="B21" s="618" t="s">
        <v>369</v>
      </c>
      <c r="C21" s="618" t="s">
        <v>368</v>
      </c>
      <c r="D21" s="614">
        <f>VLOOKUP(B21,Limity!$A$3:$B$14,2,FALSE)</f>
        <v>740</v>
      </c>
      <c r="E21" s="618">
        <v>4.75</v>
      </c>
      <c r="F21" s="615">
        <f t="shared" si="5"/>
        <v>3515</v>
      </c>
      <c r="G21" s="619">
        <f t="shared" si="6"/>
        <v>4218</v>
      </c>
      <c r="H21" s="620"/>
    </row>
    <row r="22" spans="1:11" ht="16.5" customHeight="1" thickBot="1" x14ac:dyDescent="0.35">
      <c r="A22" s="613" t="s">
        <v>359</v>
      </c>
      <c r="B22" s="618" t="s">
        <v>371</v>
      </c>
      <c r="C22" s="618" t="s">
        <v>368</v>
      </c>
      <c r="D22" s="614">
        <f>VLOOKUP(B22,Limity!$A$3:$B$14,2,FALSE)</f>
        <v>590</v>
      </c>
      <c r="E22" s="618">
        <v>1.25</v>
      </c>
      <c r="F22" s="615">
        <f t="shared" si="5"/>
        <v>737.5</v>
      </c>
      <c r="G22" s="619">
        <f t="shared" si="6"/>
        <v>885</v>
      </c>
      <c r="H22" s="620"/>
    </row>
    <row r="23" spans="1:11" ht="21.9" customHeight="1" thickBot="1" x14ac:dyDescent="0.35">
      <c r="A23" s="652"/>
      <c r="B23" s="653"/>
      <c r="C23" s="653"/>
      <c r="D23" s="654"/>
      <c r="E23" s="655"/>
      <c r="F23" s="656">
        <f>SUM(F20:F22)</f>
        <v>17635</v>
      </c>
      <c r="G23" s="657">
        <f>SUM(G20:G22)</f>
        <v>21162</v>
      </c>
      <c r="H23" s="625"/>
      <c r="I23" s="608">
        <f>G23/G24</f>
        <v>0.13925574967920246</v>
      </c>
      <c r="J23" t="s">
        <v>405</v>
      </c>
    </row>
    <row r="24" spans="1:11" ht="16.2" thickBot="1" x14ac:dyDescent="0.35">
      <c r="A24" s="776" t="s">
        <v>403</v>
      </c>
      <c r="B24" s="777"/>
      <c r="C24" s="777"/>
      <c r="D24" s="777"/>
      <c r="E24" s="777"/>
      <c r="F24" s="778"/>
      <c r="G24" s="664">
        <f>G7+G12+G19+G23</f>
        <v>151965</v>
      </c>
      <c r="H24" s="626"/>
      <c r="I24" s="608">
        <f>G24/G29</f>
        <v>0.2538129090823904</v>
      </c>
      <c r="J24" t="s">
        <v>406</v>
      </c>
    </row>
    <row r="25" spans="1:11" ht="16.2" thickBot="1" x14ac:dyDescent="0.35">
      <c r="A25" s="666" t="s">
        <v>68</v>
      </c>
      <c r="B25" s="667"/>
      <c r="C25" s="667"/>
      <c r="D25" s="667"/>
      <c r="E25" s="667"/>
      <c r="F25" s="667"/>
      <c r="G25" s="665">
        <f>SUMIF('HW a licencie'!G3:G27,Rozpočet_vývoj!A25,'HW a licencie'!E3:E27)*1.2</f>
        <v>379819.41199999995</v>
      </c>
      <c r="H25" s="648"/>
      <c r="I25" s="608">
        <f>G25/G29</f>
        <v>0.63437679653659051</v>
      </c>
      <c r="J25" t="s">
        <v>406</v>
      </c>
      <c r="K25" s="669">
        <f>'HW a licencie'!E3</f>
        <v>0</v>
      </c>
    </row>
    <row r="26" spans="1:11" ht="15.6" x14ac:dyDescent="0.3">
      <c r="A26" s="666" t="s">
        <v>400</v>
      </c>
      <c r="B26" s="667"/>
      <c r="C26" s="667"/>
      <c r="D26" s="667"/>
      <c r="E26" s="667"/>
      <c r="F26" s="667"/>
      <c r="G26" s="668">
        <f>SUMIF('HW a licencie'!G3:G27,Rozpočet_vývoj!A26,'HW a licencie'!E3:E27)*1.2</f>
        <v>30204</v>
      </c>
      <c r="H26" s="648"/>
      <c r="I26" s="608">
        <f>G26/G29</f>
        <v>5.0446912814954233E-2</v>
      </c>
      <c r="J26" t="s">
        <v>406</v>
      </c>
    </row>
    <row r="27" spans="1:11" ht="15.6" x14ac:dyDescent="0.3">
      <c r="A27" s="772" t="s">
        <v>360</v>
      </c>
      <c r="B27" s="663" t="s">
        <v>312</v>
      </c>
      <c r="C27" s="659"/>
      <c r="D27" s="660"/>
      <c r="E27" s="659"/>
      <c r="F27" s="661"/>
      <c r="G27" s="662">
        <v>35000</v>
      </c>
      <c r="H27" s="620"/>
      <c r="I27" s="608">
        <f>G27/G29</f>
        <v>5.8457222504416574E-2</v>
      </c>
      <c r="J27" t="s">
        <v>406</v>
      </c>
    </row>
    <row r="28" spans="1:11" ht="16.2" thickBot="1" x14ac:dyDescent="0.35">
      <c r="A28" s="772"/>
      <c r="B28" s="663" t="s">
        <v>393</v>
      </c>
      <c r="C28" s="659"/>
      <c r="D28" s="660"/>
      <c r="E28" s="659"/>
      <c r="F28" s="661"/>
      <c r="G28" s="662">
        <v>1740</v>
      </c>
      <c r="H28" s="620"/>
      <c r="I28" s="608">
        <f>G28/G29</f>
        <v>2.9061590616481382E-3</v>
      </c>
      <c r="J28" t="s">
        <v>406</v>
      </c>
    </row>
    <row r="29" spans="1:11" s="608" customFormat="1" ht="20.399999999999999" customHeight="1" thickBot="1" x14ac:dyDescent="0.35">
      <c r="A29" s="773" t="s">
        <v>404</v>
      </c>
      <c r="B29" s="774"/>
      <c r="C29" s="774"/>
      <c r="D29" s="774"/>
      <c r="E29" s="774"/>
      <c r="F29" s="775"/>
      <c r="G29" s="658">
        <f>G7+G12+G19+G23+G25+G26+G27+G28</f>
        <v>598728.41200000001</v>
      </c>
      <c r="H29" s="627"/>
      <c r="J29"/>
    </row>
    <row r="32" spans="1:11" s="608" customFormat="1" x14ac:dyDescent="0.3">
      <c r="A32"/>
      <c r="B32" s="628"/>
      <c r="C32" s="628"/>
      <c r="D32" s="629"/>
      <c r="E32" s="628"/>
      <c r="F32" s="630"/>
      <c r="G32" s="628"/>
      <c r="H32"/>
      <c r="J32"/>
    </row>
  </sheetData>
  <autoFilter ref="A1:H28" xr:uid="{00000000-0009-0000-0000-000000000000}"/>
  <mergeCells count="3">
    <mergeCell ref="A27:A28"/>
    <mergeCell ref="A29:F29"/>
    <mergeCell ref="A24:F2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0DEF-F4C2-498A-ABA7-A9813154892E}">
  <sheetPr>
    <tabColor rgb="FFFFFFCC"/>
  </sheetPr>
  <dimension ref="A1:G15"/>
  <sheetViews>
    <sheetView workbookViewId="0">
      <selection activeCell="H15" sqref="H15"/>
    </sheetView>
  </sheetViews>
  <sheetFormatPr defaultColWidth="11.44140625" defaultRowHeight="14.4" x14ac:dyDescent="0.3"/>
  <cols>
    <col min="1" max="1" width="54.44140625" customWidth="1"/>
    <col min="2" max="3" width="16" customWidth="1"/>
    <col min="4" max="4" width="17.6640625" customWidth="1"/>
    <col min="5" max="5" width="12.77734375" customWidth="1"/>
    <col min="6" max="6" width="12.44140625" customWidth="1"/>
  </cols>
  <sheetData>
    <row r="1" spans="1:7" ht="45" customHeight="1" thickBot="1" x14ac:dyDescent="0.35">
      <c r="A1" s="779" t="s">
        <v>374</v>
      </c>
      <c r="B1" s="781" t="s">
        <v>375</v>
      </c>
      <c r="C1" s="782"/>
      <c r="D1" s="783"/>
      <c r="E1" s="631"/>
    </row>
    <row r="2" spans="1:7" ht="93.6" thickBot="1" x14ac:dyDescent="0.35">
      <c r="A2" s="780"/>
      <c r="B2" s="649" t="s">
        <v>394</v>
      </c>
      <c r="C2" s="632" t="s">
        <v>376</v>
      </c>
      <c r="D2" s="633" t="s">
        <v>377</v>
      </c>
      <c r="E2" s="634" t="s">
        <v>378</v>
      </c>
      <c r="F2" s="634" t="s">
        <v>379</v>
      </c>
    </row>
    <row r="3" spans="1:7" x14ac:dyDescent="0.3">
      <c r="A3" s="635" t="s">
        <v>353</v>
      </c>
      <c r="B3" s="650">
        <v>650</v>
      </c>
      <c r="C3" s="636">
        <v>910</v>
      </c>
      <c r="D3" s="637" t="s">
        <v>380</v>
      </c>
      <c r="E3" s="638">
        <f>SUMIF(Rozpočet_vývoj!B2:B33,A3,Rozpočet_vývoj!E2:E33)</f>
        <v>14.25</v>
      </c>
      <c r="F3" s="639">
        <f>E3/E15</f>
        <v>6.0573857598299682E-2</v>
      </c>
      <c r="G3" s="221"/>
    </row>
    <row r="4" spans="1:7" x14ac:dyDescent="0.3">
      <c r="A4" s="635" t="s">
        <v>355</v>
      </c>
      <c r="B4" s="650">
        <v>450</v>
      </c>
      <c r="C4" s="636">
        <v>570</v>
      </c>
      <c r="D4" s="637" t="s">
        <v>381</v>
      </c>
      <c r="E4" s="640">
        <f>SUMIF(Rozpočet_vývoj!B2:B33,A4,Rozpočet_vývoj!E2:E33)</f>
        <v>23.25</v>
      </c>
      <c r="F4" s="641">
        <f>E4/E15</f>
        <v>9.8831030818278431E-2</v>
      </c>
      <c r="G4" s="221"/>
    </row>
    <row r="5" spans="1:7" x14ac:dyDescent="0.3">
      <c r="A5" s="635" t="s">
        <v>372</v>
      </c>
      <c r="B5" s="650">
        <v>520</v>
      </c>
      <c r="C5" s="636">
        <v>650</v>
      </c>
      <c r="D5" s="637" t="s">
        <v>382</v>
      </c>
      <c r="E5" s="640">
        <f>SUMIF(Rozpočet_vývoj!B2:B33,A5,Rozpočet_vývoj!E2:E33)</f>
        <v>63</v>
      </c>
      <c r="F5" s="641">
        <f>E5/E15</f>
        <v>0.2678002125398512</v>
      </c>
      <c r="G5" s="221"/>
    </row>
    <row r="6" spans="1:7" x14ac:dyDescent="0.3">
      <c r="A6" s="635" t="s">
        <v>371</v>
      </c>
      <c r="B6" s="650">
        <v>590</v>
      </c>
      <c r="C6" s="636">
        <v>890</v>
      </c>
      <c r="D6" s="637" t="s">
        <v>383</v>
      </c>
      <c r="E6" s="640">
        <f>SUMIF(Rozpočet_vývoj!B2:B33,A6,Rozpočet_vývoj!E2:E33)</f>
        <v>9.25</v>
      </c>
      <c r="F6" s="641">
        <f>E6/E15</f>
        <v>3.9319872476089264E-2</v>
      </c>
    </row>
    <row r="7" spans="1:7" x14ac:dyDescent="0.3">
      <c r="A7" s="635" t="s">
        <v>354</v>
      </c>
      <c r="B7" s="650">
        <v>500</v>
      </c>
      <c r="C7" s="636">
        <v>740</v>
      </c>
      <c r="D7" s="637" t="s">
        <v>384</v>
      </c>
      <c r="E7" s="640">
        <f>SUMIF(Rozpočet_vývoj!B2:B33,A7,Rozpočet_vývoj!E2:E33)</f>
        <v>41.5</v>
      </c>
      <c r="F7" s="641">
        <f>E7/E15</f>
        <v>0.17640807651434645</v>
      </c>
    </row>
    <row r="8" spans="1:7" x14ac:dyDescent="0.3">
      <c r="A8" s="635" t="s">
        <v>385</v>
      </c>
      <c r="B8" s="650">
        <v>640</v>
      </c>
      <c r="C8" s="636">
        <v>890</v>
      </c>
      <c r="D8" s="637" t="s">
        <v>386</v>
      </c>
      <c r="E8" s="640">
        <f>SUMIF(Rozpočet_vývoj!B2:B33,A8,Rozpočet_vývoj!E2:E33)</f>
        <v>0</v>
      </c>
      <c r="F8" s="641">
        <f>E8/E15</f>
        <v>0</v>
      </c>
    </row>
    <row r="9" spans="1:7" x14ac:dyDescent="0.3">
      <c r="A9" s="635" t="s">
        <v>369</v>
      </c>
      <c r="B9" s="650">
        <v>740</v>
      </c>
      <c r="C9" s="636">
        <v>1200</v>
      </c>
      <c r="D9" s="637" t="s">
        <v>387</v>
      </c>
      <c r="E9" s="640">
        <f>SUMIF(Rozpočet_vývoj!B2:B33,A9,Rozpočet_vývoj!E2:E33)</f>
        <v>19</v>
      </c>
      <c r="F9" s="641">
        <f>E9/E15</f>
        <v>8.0765143464399572E-2</v>
      </c>
    </row>
    <row r="10" spans="1:7" x14ac:dyDescent="0.3">
      <c r="A10" s="635" t="s">
        <v>373</v>
      </c>
      <c r="B10" s="650">
        <v>530</v>
      </c>
      <c r="C10" s="636">
        <v>790</v>
      </c>
      <c r="D10" s="637" t="s">
        <v>388</v>
      </c>
      <c r="E10" s="640">
        <f>SUMIF(Rozpočet_vývoj!B2:B33,A10,Rozpočet_vývoj!E2:E33)</f>
        <v>34.75</v>
      </c>
      <c r="F10" s="641">
        <f>E10/E15</f>
        <v>0.14771519659936239</v>
      </c>
    </row>
    <row r="11" spans="1:7" x14ac:dyDescent="0.3">
      <c r="A11" s="635" t="s">
        <v>370</v>
      </c>
      <c r="B11" s="650">
        <v>520</v>
      </c>
      <c r="C11" s="636">
        <v>600</v>
      </c>
      <c r="D11" s="637" t="s">
        <v>381</v>
      </c>
      <c r="E11" s="640">
        <f>SUMIF(Rozpočet_vývoj!B2:B33,A11,Rozpočet_vývoj!E2:E33)</f>
        <v>25</v>
      </c>
      <c r="F11" s="641">
        <f>E11/E15</f>
        <v>0.10626992561105207</v>
      </c>
    </row>
    <row r="12" spans="1:7" x14ac:dyDescent="0.3">
      <c r="A12" s="635" t="s">
        <v>358</v>
      </c>
      <c r="B12" s="650">
        <v>470</v>
      </c>
      <c r="C12" s="636">
        <v>710</v>
      </c>
      <c r="D12" s="637" t="s">
        <v>386</v>
      </c>
      <c r="E12" s="640">
        <f>SUMIF(Rozpočet_vývoj!B2:B33,A12,Rozpočet_vývoj!E2:E33)</f>
        <v>5.25</v>
      </c>
      <c r="F12" s="641">
        <f>E12/E15</f>
        <v>2.2316684378320937E-2</v>
      </c>
    </row>
    <row r="13" spans="1:7" x14ac:dyDescent="0.3">
      <c r="A13" s="635" t="s">
        <v>389</v>
      </c>
      <c r="B13" s="650"/>
      <c r="C13" s="636">
        <v>900</v>
      </c>
      <c r="D13" s="637" t="s">
        <v>384</v>
      </c>
      <c r="E13" s="640">
        <f>SUMIF(Rozpočet_vývoj!B2:B33,A13,Rozpočet_vývoj!E2:E33)</f>
        <v>0</v>
      </c>
      <c r="F13" s="641">
        <f>E13/E15</f>
        <v>0</v>
      </c>
    </row>
    <row r="14" spans="1:7" ht="27.6" thickBot="1" x14ac:dyDescent="0.35">
      <c r="A14" s="642" t="s">
        <v>390</v>
      </c>
      <c r="B14" s="651"/>
      <c r="C14" s="643">
        <v>570</v>
      </c>
      <c r="D14" s="644" t="s">
        <v>391</v>
      </c>
      <c r="E14" s="645">
        <f>SUMIF(Rozpočet_vývoj!B2:B33,A14,Rozpočet_vývoj!E2:E33)</f>
        <v>0</v>
      </c>
      <c r="F14" s="646">
        <f>E14/E15</f>
        <v>0</v>
      </c>
    </row>
    <row r="15" spans="1:7" ht="15.6" x14ac:dyDescent="0.3">
      <c r="A15" s="647" t="s">
        <v>392</v>
      </c>
      <c r="E15" s="865">
        <f>SUM(E3:E14)</f>
        <v>235.25</v>
      </c>
    </row>
  </sheetData>
  <mergeCells count="2">
    <mergeCell ref="A1:A2"/>
    <mergeCell ref="B1:D1"/>
  </mergeCells>
  <conditionalFormatting sqref="F3">
    <cfRule type="cellIs" dxfId="7" priority="6" operator="greaterThan">
      <formula>$D$3</formula>
    </cfRule>
    <cfRule type="cellIs" dxfId="6" priority="7" operator="greaterThan">
      <formula>$D$3</formula>
    </cfRule>
    <cfRule type="cellIs" dxfId="5" priority="8" operator="greaterThan">
      <formula>$D$3</formula>
    </cfRule>
  </conditionalFormatting>
  <conditionalFormatting sqref="F3:F14">
    <cfRule type="cellIs" dxfId="4" priority="5" operator="greaterThan">
      <formula>$D$3</formula>
    </cfRule>
  </conditionalFormatting>
  <conditionalFormatting sqref="E3">
    <cfRule type="cellIs" dxfId="3" priority="2" operator="greaterThan">
      <formula>$D$3</formula>
    </cfRule>
    <cfRule type="cellIs" dxfId="2" priority="3" operator="greaterThan">
      <formula>$D$3</formula>
    </cfRule>
    <cfRule type="cellIs" dxfId="1" priority="4" operator="greaterThan">
      <formula>$D$3</formula>
    </cfRule>
  </conditionalFormatting>
  <conditionalFormatting sqref="E3:E14">
    <cfRule type="cellIs" dxfId="0" priority="1" operator="greaterThan">
      <formula>$D$3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G28"/>
  <sheetViews>
    <sheetView view="pageBreakPreview" topLeftCell="A19" zoomScaleNormal="100" zoomScaleSheetLayoutView="100" workbookViewId="0">
      <selection activeCell="H25" sqref="H25"/>
    </sheetView>
  </sheetViews>
  <sheetFormatPr defaultColWidth="8.88671875" defaultRowHeight="14.4" x14ac:dyDescent="0.3"/>
  <cols>
    <col min="1" max="1" width="59.77734375" customWidth="1"/>
    <col min="2" max="2" width="11.6640625" bestFit="1" customWidth="1"/>
    <col min="3" max="3" width="4.6640625" bestFit="1" customWidth="1"/>
    <col min="4" max="4" width="16.109375" bestFit="1" customWidth="1"/>
    <col min="5" max="5" width="14.109375" bestFit="1" customWidth="1"/>
    <col min="6" max="6" width="74.5546875" customWidth="1"/>
    <col min="7" max="7" width="10.21875" bestFit="1" customWidth="1"/>
  </cols>
  <sheetData>
    <row r="1" spans="1:7" ht="15" thickBot="1" x14ac:dyDescent="0.35">
      <c r="A1" s="835"/>
      <c r="B1" s="835"/>
      <c r="F1" s="670"/>
    </row>
    <row r="2" spans="1:7" x14ac:dyDescent="0.3">
      <c r="A2" s="836" t="s">
        <v>320</v>
      </c>
      <c r="B2" s="836" t="s">
        <v>321</v>
      </c>
      <c r="C2" s="836" t="s">
        <v>322</v>
      </c>
      <c r="D2" s="837" t="s">
        <v>323</v>
      </c>
      <c r="E2" s="837" t="s">
        <v>447</v>
      </c>
      <c r="F2" s="838" t="s">
        <v>324</v>
      </c>
    </row>
    <row r="3" spans="1:7" x14ac:dyDescent="0.3">
      <c r="A3" s="839" t="s">
        <v>409</v>
      </c>
      <c r="B3" s="840"/>
      <c r="C3" s="841"/>
      <c r="D3" s="841"/>
      <c r="E3" s="841"/>
      <c r="F3" s="842"/>
    </row>
    <row r="4" spans="1:7" x14ac:dyDescent="0.3">
      <c r="A4" s="843" t="s">
        <v>410</v>
      </c>
      <c r="B4" s="194" t="s">
        <v>401</v>
      </c>
      <c r="C4" s="844">
        <v>1</v>
      </c>
      <c r="D4" s="845">
        <v>24000</v>
      </c>
      <c r="E4" s="846">
        <f t="shared" ref="E4:E11" si="0">D4*C4</f>
        <v>24000</v>
      </c>
      <c r="F4" s="847" t="s">
        <v>411</v>
      </c>
      <c r="G4" s="848" t="s">
        <v>400</v>
      </c>
    </row>
    <row r="5" spans="1:7" ht="43.2" x14ac:dyDescent="0.3">
      <c r="A5" s="843" t="s">
        <v>412</v>
      </c>
      <c r="B5" s="194" t="s">
        <v>402</v>
      </c>
      <c r="C5" s="844">
        <v>1</v>
      </c>
      <c r="D5" s="845">
        <f>[1]INFRA!E33</f>
        <v>28963</v>
      </c>
      <c r="E5" s="846">
        <f t="shared" si="0"/>
        <v>28963</v>
      </c>
      <c r="F5" s="847" t="s">
        <v>413</v>
      </c>
      <c r="G5" s="849" t="s">
        <v>68</v>
      </c>
    </row>
    <row r="6" spans="1:7" x14ac:dyDescent="0.3">
      <c r="A6" s="843" t="s">
        <v>414</v>
      </c>
      <c r="B6" s="194" t="s">
        <v>402</v>
      </c>
      <c r="C6" s="844">
        <v>1</v>
      </c>
      <c r="D6" s="845">
        <v>8850</v>
      </c>
      <c r="E6" s="846">
        <f t="shared" si="0"/>
        <v>8850</v>
      </c>
      <c r="F6" s="847" t="s">
        <v>415</v>
      </c>
      <c r="G6" s="849" t="s">
        <v>68</v>
      </c>
    </row>
    <row r="7" spans="1:7" x14ac:dyDescent="0.3">
      <c r="A7" s="843" t="s">
        <v>416</v>
      </c>
      <c r="B7" s="194" t="s">
        <v>401</v>
      </c>
      <c r="C7" s="844">
        <v>6</v>
      </c>
      <c r="D7" s="845">
        <v>195</v>
      </c>
      <c r="E7" s="846">
        <f t="shared" si="0"/>
        <v>1170</v>
      </c>
      <c r="F7" s="847" t="s">
        <v>415</v>
      </c>
      <c r="G7" s="848" t="s">
        <v>400</v>
      </c>
    </row>
    <row r="8" spans="1:7" x14ac:dyDescent="0.3">
      <c r="A8" s="843" t="s">
        <v>417</v>
      </c>
      <c r="B8" s="194" t="s">
        <v>402</v>
      </c>
      <c r="C8" s="844">
        <v>1</v>
      </c>
      <c r="D8" s="845">
        <v>2445</v>
      </c>
      <c r="E8" s="846">
        <f t="shared" si="0"/>
        <v>2445</v>
      </c>
      <c r="F8" s="847" t="s">
        <v>415</v>
      </c>
      <c r="G8" s="848" t="s">
        <v>68</v>
      </c>
    </row>
    <row r="9" spans="1:7" ht="72" x14ac:dyDescent="0.3">
      <c r="A9" s="843" t="s">
        <v>418</v>
      </c>
      <c r="B9" s="194" t="s">
        <v>402</v>
      </c>
      <c r="C9" s="844">
        <v>1</v>
      </c>
      <c r="D9" s="845">
        <v>2338</v>
      </c>
      <c r="E9" s="846">
        <f t="shared" si="0"/>
        <v>2338</v>
      </c>
      <c r="F9" s="847" t="s">
        <v>419</v>
      </c>
      <c r="G9" s="848" t="s">
        <v>68</v>
      </c>
    </row>
    <row r="10" spans="1:7" x14ac:dyDescent="0.3">
      <c r="A10" s="839" t="s">
        <v>420</v>
      </c>
      <c r="B10" s="840"/>
      <c r="C10" s="850"/>
      <c r="D10" s="851"/>
      <c r="E10" s="852"/>
      <c r="F10" s="853"/>
      <c r="G10" s="848"/>
    </row>
    <row r="11" spans="1:7" x14ac:dyDescent="0.3">
      <c r="A11" s="843" t="s">
        <v>443</v>
      </c>
      <c r="B11" s="194" t="s">
        <v>402</v>
      </c>
      <c r="C11" s="844">
        <v>2</v>
      </c>
      <c r="D11" s="845">
        <v>2317</v>
      </c>
      <c r="E11" s="846">
        <f t="shared" si="0"/>
        <v>4634</v>
      </c>
      <c r="F11" s="847" t="s">
        <v>411</v>
      </c>
      <c r="G11" s="848" t="s">
        <v>68</v>
      </c>
    </row>
    <row r="12" spans="1:7" x14ac:dyDescent="0.3">
      <c r="A12" s="839" t="s">
        <v>442</v>
      </c>
      <c r="B12" s="840"/>
      <c r="C12" s="850"/>
      <c r="D12" s="851"/>
      <c r="E12" s="852"/>
      <c r="F12" s="853"/>
      <c r="G12" s="848"/>
    </row>
    <row r="13" spans="1:7" ht="28.8" x14ac:dyDescent="0.3">
      <c r="A13" s="843" t="s">
        <v>421</v>
      </c>
      <c r="B13" s="194" t="s">
        <v>402</v>
      </c>
      <c r="C13" s="844">
        <v>6</v>
      </c>
      <c r="D13" s="845">
        <v>4261.2033333333329</v>
      </c>
      <c r="E13" s="846">
        <f t="shared" ref="E13:E27" si="1">D13*C13</f>
        <v>25567.219999999998</v>
      </c>
      <c r="F13" s="847" t="s">
        <v>422</v>
      </c>
      <c r="G13" s="848" t="s">
        <v>68</v>
      </c>
    </row>
    <row r="14" spans="1:7" ht="115.2" x14ac:dyDescent="0.3">
      <c r="A14" s="843" t="s">
        <v>444</v>
      </c>
      <c r="B14" s="194" t="s">
        <v>402</v>
      </c>
      <c r="C14" s="844">
        <v>5</v>
      </c>
      <c r="D14" s="845">
        <v>1757.2033333333334</v>
      </c>
      <c r="E14" s="846">
        <f t="shared" si="1"/>
        <v>8786.0166666666664</v>
      </c>
      <c r="F14" s="866" t="s">
        <v>445</v>
      </c>
      <c r="G14" s="848" t="s">
        <v>68</v>
      </c>
    </row>
    <row r="15" spans="1:7" ht="57.6" x14ac:dyDescent="0.3">
      <c r="A15" s="843" t="s">
        <v>423</v>
      </c>
      <c r="B15" s="194" t="s">
        <v>402</v>
      </c>
      <c r="C15" s="844">
        <v>4</v>
      </c>
      <c r="D15" s="845">
        <v>2625</v>
      </c>
      <c r="E15" s="846">
        <f t="shared" si="1"/>
        <v>10500</v>
      </c>
      <c r="F15" s="847" t="s">
        <v>446</v>
      </c>
      <c r="G15" s="848" t="s">
        <v>68</v>
      </c>
    </row>
    <row r="16" spans="1:7" x14ac:dyDescent="0.3">
      <c r="A16" s="839" t="s">
        <v>424</v>
      </c>
      <c r="B16" s="854"/>
      <c r="C16" s="855"/>
      <c r="D16" s="856"/>
      <c r="E16" s="857"/>
      <c r="F16" s="853"/>
      <c r="G16" s="848"/>
    </row>
    <row r="17" spans="1:7" x14ac:dyDescent="0.3">
      <c r="A17" s="843" t="s">
        <v>425</v>
      </c>
      <c r="B17" s="194"/>
      <c r="C17" s="844"/>
      <c r="D17" s="845"/>
      <c r="E17" s="846"/>
      <c r="F17" s="847"/>
      <c r="G17" s="848"/>
    </row>
    <row r="18" spans="1:7" ht="28.8" x14ac:dyDescent="0.3">
      <c r="A18" s="858" t="s">
        <v>426</v>
      </c>
      <c r="B18" s="194" t="s">
        <v>402</v>
      </c>
      <c r="C18" s="859">
        <v>26</v>
      </c>
      <c r="D18" s="845">
        <v>2042</v>
      </c>
      <c r="E18" s="846">
        <f t="shared" si="1"/>
        <v>53092</v>
      </c>
      <c r="F18" s="860" t="s">
        <v>427</v>
      </c>
      <c r="G18" s="848" t="s">
        <v>68</v>
      </c>
    </row>
    <row r="19" spans="1:7" ht="43.2" x14ac:dyDescent="0.3">
      <c r="A19" s="858" t="s">
        <v>428</v>
      </c>
      <c r="B19" s="194" t="s">
        <v>402</v>
      </c>
      <c r="C19" s="859">
        <v>25</v>
      </c>
      <c r="D19" s="845">
        <v>799</v>
      </c>
      <c r="E19" s="846">
        <f t="shared" si="1"/>
        <v>19975</v>
      </c>
      <c r="F19" s="847" t="s">
        <v>429</v>
      </c>
      <c r="G19" s="848" t="s">
        <v>68</v>
      </c>
    </row>
    <row r="20" spans="1:7" ht="72" x14ac:dyDescent="0.3">
      <c r="A20" s="858" t="s">
        <v>430</v>
      </c>
      <c r="B20" s="194" t="s">
        <v>402</v>
      </c>
      <c r="C20" s="859">
        <v>4</v>
      </c>
      <c r="D20" s="845">
        <v>1305.75</v>
      </c>
      <c r="E20" s="846">
        <f t="shared" si="1"/>
        <v>5223</v>
      </c>
      <c r="F20" s="860" t="s">
        <v>431</v>
      </c>
      <c r="G20" s="848" t="s">
        <v>68</v>
      </c>
    </row>
    <row r="21" spans="1:7" x14ac:dyDescent="0.3">
      <c r="A21" s="858" t="s">
        <v>432</v>
      </c>
      <c r="B21" s="194" t="s">
        <v>402</v>
      </c>
      <c r="C21" s="859">
        <v>18</v>
      </c>
      <c r="D21" s="845">
        <v>2277.3000000000002</v>
      </c>
      <c r="E21" s="846">
        <f t="shared" si="1"/>
        <v>40991.4</v>
      </c>
      <c r="F21" s="860" t="s">
        <v>433</v>
      </c>
      <c r="G21" s="848" t="s">
        <v>68</v>
      </c>
    </row>
    <row r="22" spans="1:7" x14ac:dyDescent="0.3">
      <c r="A22" s="858" t="s">
        <v>434</v>
      </c>
      <c r="B22" s="194" t="s">
        <v>402</v>
      </c>
      <c r="C22" s="859">
        <v>73</v>
      </c>
      <c r="D22" s="845">
        <v>1051</v>
      </c>
      <c r="E22" s="846">
        <f t="shared" si="1"/>
        <v>76723</v>
      </c>
      <c r="F22" s="847" t="s">
        <v>411</v>
      </c>
      <c r="G22" s="848" t="s">
        <v>68</v>
      </c>
    </row>
    <row r="23" spans="1:7" x14ac:dyDescent="0.3">
      <c r="A23" s="839" t="s">
        <v>435</v>
      </c>
      <c r="B23" s="854"/>
      <c r="C23" s="855"/>
      <c r="D23" s="856"/>
      <c r="E23" s="857"/>
      <c r="F23" s="853"/>
      <c r="G23" s="848"/>
    </row>
    <row r="24" spans="1:7" x14ac:dyDescent="0.3">
      <c r="A24" s="843" t="s">
        <v>436</v>
      </c>
      <c r="B24" s="194" t="s">
        <v>402</v>
      </c>
      <c r="C24" s="844">
        <v>2</v>
      </c>
      <c r="D24" s="845">
        <v>3912</v>
      </c>
      <c r="E24" s="846">
        <f t="shared" si="1"/>
        <v>7824</v>
      </c>
      <c r="F24" s="847" t="s">
        <v>411</v>
      </c>
      <c r="G24" s="848" t="s">
        <v>68</v>
      </c>
    </row>
    <row r="25" spans="1:7" ht="100.8" x14ac:dyDescent="0.3">
      <c r="A25" s="843" t="s">
        <v>437</v>
      </c>
      <c r="B25" s="194" t="s">
        <v>402</v>
      </c>
      <c r="C25" s="844">
        <v>2</v>
      </c>
      <c r="D25" s="845">
        <v>7135.27</v>
      </c>
      <c r="E25" s="846">
        <f t="shared" si="1"/>
        <v>14270.54</v>
      </c>
      <c r="F25" s="847" t="s">
        <v>438</v>
      </c>
      <c r="G25" s="848" t="s">
        <v>68</v>
      </c>
    </row>
    <row r="26" spans="1:7" x14ac:dyDescent="0.3">
      <c r="A26" s="843" t="s">
        <v>439</v>
      </c>
      <c r="B26" s="194" t="s">
        <v>402</v>
      </c>
      <c r="C26" s="844">
        <v>1</v>
      </c>
      <c r="D26" s="845">
        <v>956</v>
      </c>
      <c r="E26" s="846">
        <f t="shared" si="1"/>
        <v>956</v>
      </c>
      <c r="F26" s="847" t="s">
        <v>411</v>
      </c>
      <c r="G26" s="848" t="s">
        <v>68</v>
      </c>
    </row>
    <row r="27" spans="1:7" ht="28.8" x14ac:dyDescent="0.3">
      <c r="A27" s="843" t="s">
        <v>440</v>
      </c>
      <c r="B27" s="194" t="s">
        <v>402</v>
      </c>
      <c r="C27" s="844">
        <v>1</v>
      </c>
      <c r="D27" s="845">
        <v>5378</v>
      </c>
      <c r="E27" s="846">
        <f t="shared" si="1"/>
        <v>5378</v>
      </c>
      <c r="F27" s="847" t="s">
        <v>441</v>
      </c>
      <c r="G27" s="848" t="s">
        <v>68</v>
      </c>
    </row>
    <row r="28" spans="1:7" x14ac:dyDescent="0.3">
      <c r="A28" s="861"/>
      <c r="B28" s="861"/>
      <c r="C28" s="862"/>
      <c r="D28" s="862"/>
      <c r="E28" s="863">
        <f>SUM(E3:E27)</f>
        <v>341686.17666666664</v>
      </c>
      <c r="F28" s="864"/>
      <c r="G28" s="848"/>
    </row>
  </sheetData>
  <hyperlinks>
    <hyperlink ref="F18" r:id="rId1" display="https://www.empiria.sk/Prilohy/254170004689_0.pdf" xr:uid="{99182649-A73C-4EE3-9C00-8A0D496526F6}"/>
    <hyperlink ref="F20" r:id="rId2" display="https://www.mirad.sk/tovar/98687/plynomer-podruz-bk-g4-m-a-100-dn25-absolut-encoder-ae5-acm-m-bus-wire" xr:uid="{1CFCA513-428B-42BB-9F02-609E6453E3E5}"/>
    <hyperlink ref="F21" r:id="rId3" xr:uid="{5D03C045-7095-4E7F-8D07-0A6BA13C1B9D}"/>
    <hyperlink ref="F14" r:id="rId4" display="https://www.distrelec.sk/sk/napajeci-zdroj-na-listu-din-13-8v-5a-100w-nastavitelny-mean-well-drc-100a/p/30010732?gclid=Cj0KCQjwgJv4BRCrARIsAB17JI78auppECdfGNZ_ryBiEaloWocOm-tjNB2UNp3IUgRpBReRWiGqsU8aAgW3EALw_wcB&amp;ext_cid=gpgooaqsksk-mmpn&amp;ext_cid=gpgooaqsksk-mmpn&amp;kw=%7Bkeyword%7D&amp;kw=%2Bdrc-100a_x000a_" xr:uid="{80DAD9C4-0F04-4186-BD83-D5AF98E79674}"/>
  </hyperlinks>
  <pageMargins left="0.7" right="0.7" top="0.75" bottom="0.75" header="0.3" footer="0.3"/>
  <pageSetup paperSize="9" scale="55" orientation="portrait" r:id="rId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view="pageBreakPreview" topLeftCell="F1" zoomScale="60" zoomScaleNormal="80" workbookViewId="0">
      <selection activeCell="P24" sqref="P24"/>
    </sheetView>
  </sheetViews>
  <sheetFormatPr defaultColWidth="8.6640625" defaultRowHeight="12" x14ac:dyDescent="0.25"/>
  <cols>
    <col min="1" max="1" width="36.33203125" style="147" customWidth="1"/>
    <col min="2" max="2" width="34.6640625" style="147" customWidth="1"/>
    <col min="3" max="3" width="3.33203125" style="147" customWidth="1"/>
    <col min="4" max="24" width="3.6640625" style="147" customWidth="1"/>
    <col min="25" max="25" width="4.44140625" style="147" customWidth="1"/>
    <col min="26" max="28" width="16.44140625" style="147" customWidth="1"/>
    <col min="29" max="29" width="18.109375" style="147" customWidth="1"/>
    <col min="30" max="30" width="9" style="147" customWidth="1"/>
    <col min="31" max="31" width="9.109375" style="147" customWidth="1"/>
    <col min="32" max="32" width="9" style="147" customWidth="1"/>
    <col min="33" max="33" width="10.6640625" style="148" customWidth="1"/>
    <col min="34" max="36" width="10.6640625" style="147" customWidth="1"/>
    <col min="37" max="37" width="52.109375" style="147" customWidth="1"/>
    <col min="38" max="38" width="51.6640625" style="147" customWidth="1"/>
    <col min="39" max="42" width="8.6640625" style="147"/>
    <col min="43" max="43" width="18.88671875" style="147" customWidth="1"/>
    <col min="44" max="16384" width="8.6640625" style="147"/>
  </cols>
  <sheetData>
    <row r="1" spans="1:43" ht="26.1" customHeight="1" thickBot="1" x14ac:dyDescent="0.3">
      <c r="A1" s="792" t="s">
        <v>202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526"/>
      <c r="AA1" s="526"/>
      <c r="AB1" s="526"/>
      <c r="AC1" s="526"/>
      <c r="AD1" s="792" t="s">
        <v>200</v>
      </c>
      <c r="AE1" s="792"/>
      <c r="AF1" s="792"/>
      <c r="AG1" s="792"/>
      <c r="AH1" s="792"/>
      <c r="AI1" s="792"/>
      <c r="AJ1" s="792"/>
      <c r="AK1" s="792"/>
    </row>
    <row r="2" spans="1:43" ht="36" customHeight="1" thickBot="1" x14ac:dyDescent="0.3">
      <c r="A2" s="262"/>
      <c r="B2" s="261"/>
      <c r="C2" s="263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4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4"/>
      <c r="Z2" s="793" t="s">
        <v>275</v>
      </c>
      <c r="AA2" s="794"/>
      <c r="AB2" s="794"/>
      <c r="AC2" s="794"/>
      <c r="AD2" s="794"/>
      <c r="AE2" s="794"/>
      <c r="AF2" s="794"/>
      <c r="AG2" s="794"/>
      <c r="AH2" s="794"/>
      <c r="AI2" s="794"/>
      <c r="AJ2" s="794"/>
      <c r="AK2" s="795"/>
      <c r="AL2" s="784" t="s">
        <v>274</v>
      </c>
      <c r="AM2" s="785"/>
      <c r="AN2" s="785"/>
      <c r="AO2" s="785"/>
      <c r="AP2" s="785"/>
      <c r="AQ2" s="786"/>
    </row>
    <row r="3" spans="1:43" ht="36" customHeight="1" thickBot="1" x14ac:dyDescent="0.3">
      <c r="A3" s="327"/>
      <c r="B3" s="325"/>
      <c r="C3" s="326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4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4"/>
      <c r="Z3" s="784" t="s">
        <v>328</v>
      </c>
      <c r="AA3" s="785"/>
      <c r="AB3" s="785"/>
      <c r="AC3" s="785"/>
      <c r="AD3" s="784" t="s">
        <v>329</v>
      </c>
      <c r="AE3" s="785"/>
      <c r="AF3" s="785"/>
      <c r="AG3" s="785"/>
      <c r="AH3" s="785"/>
      <c r="AI3" s="785"/>
      <c r="AJ3" s="785"/>
      <c r="AK3" s="786"/>
      <c r="AL3" s="267"/>
      <c r="AM3" s="268"/>
      <c r="AN3" s="268"/>
      <c r="AO3" s="268"/>
      <c r="AP3" s="268"/>
      <c r="AQ3" s="258"/>
    </row>
    <row r="4" spans="1:43" ht="51" customHeight="1" x14ac:dyDescent="0.25">
      <c r="A4" s="327" t="s">
        <v>203</v>
      </c>
      <c r="B4" s="604" t="s">
        <v>341</v>
      </c>
      <c r="C4" s="326" t="s">
        <v>123</v>
      </c>
      <c r="D4" s="325" t="s">
        <v>124</v>
      </c>
      <c r="E4" s="325" t="s">
        <v>125</v>
      </c>
      <c r="F4" s="325" t="s">
        <v>126</v>
      </c>
      <c r="G4" s="325" t="s">
        <v>127</v>
      </c>
      <c r="H4" s="325" t="s">
        <v>128</v>
      </c>
      <c r="I4" s="325" t="s">
        <v>129</v>
      </c>
      <c r="J4" s="325" t="s">
        <v>130</v>
      </c>
      <c r="K4" s="325" t="s">
        <v>131</v>
      </c>
      <c r="L4" s="325" t="s">
        <v>132</v>
      </c>
      <c r="M4" s="325" t="s">
        <v>133</v>
      </c>
      <c r="N4" s="324" t="s">
        <v>134</v>
      </c>
      <c r="O4" s="325" t="s">
        <v>135</v>
      </c>
      <c r="P4" s="325" t="s">
        <v>136</v>
      </c>
      <c r="Q4" s="325" t="s">
        <v>137</v>
      </c>
      <c r="R4" s="325" t="s">
        <v>138</v>
      </c>
      <c r="S4" s="325" t="s">
        <v>139</v>
      </c>
      <c r="T4" s="325" t="s">
        <v>140</v>
      </c>
      <c r="U4" s="325" t="s">
        <v>141</v>
      </c>
      <c r="V4" s="325" t="s">
        <v>142</v>
      </c>
      <c r="W4" s="325" t="s">
        <v>143</v>
      </c>
      <c r="X4" s="325" t="s">
        <v>144</v>
      </c>
      <c r="Y4" s="324" t="s">
        <v>145</v>
      </c>
      <c r="Z4" s="263" t="s">
        <v>330</v>
      </c>
      <c r="AA4" s="261" t="s">
        <v>331</v>
      </c>
      <c r="AB4" s="261" t="s">
        <v>332</v>
      </c>
      <c r="AC4" s="261" t="s">
        <v>333</v>
      </c>
      <c r="AD4" s="265" t="s">
        <v>194</v>
      </c>
      <c r="AE4" s="266" t="s">
        <v>195</v>
      </c>
      <c r="AF4" s="266" t="s">
        <v>196</v>
      </c>
      <c r="AG4" s="258" t="s">
        <v>199</v>
      </c>
      <c r="AH4" s="258" t="s">
        <v>198</v>
      </c>
      <c r="AI4" s="258" t="s">
        <v>149</v>
      </c>
      <c r="AJ4" s="787" t="s">
        <v>201</v>
      </c>
      <c r="AK4" s="580" t="s">
        <v>204</v>
      </c>
      <c r="AL4" s="580" t="s">
        <v>273</v>
      </c>
      <c r="AM4" s="265" t="s">
        <v>194</v>
      </c>
      <c r="AN4" s="266" t="s">
        <v>195</v>
      </c>
      <c r="AO4" s="266" t="s">
        <v>196</v>
      </c>
      <c r="AP4" s="258" t="s">
        <v>199</v>
      </c>
      <c r="AQ4" s="790" t="s">
        <v>272</v>
      </c>
    </row>
    <row r="5" spans="1:43" ht="8.25" customHeight="1" thickBot="1" x14ac:dyDescent="0.3">
      <c r="A5" s="149"/>
      <c r="B5" s="150"/>
      <c r="C5" s="151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2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2"/>
      <c r="Z5" s="151"/>
      <c r="AA5" s="150"/>
      <c r="AB5" s="150"/>
      <c r="AC5" s="150"/>
      <c r="AD5" s="267"/>
      <c r="AE5" s="268"/>
      <c r="AF5" s="268"/>
      <c r="AG5" s="270"/>
      <c r="AH5" s="270"/>
      <c r="AI5" s="270"/>
      <c r="AJ5" s="788"/>
      <c r="AK5" s="323"/>
      <c r="AL5" s="272"/>
      <c r="AM5" s="267"/>
      <c r="AN5" s="268"/>
      <c r="AO5" s="268"/>
      <c r="AP5" s="270"/>
      <c r="AQ5" s="791"/>
    </row>
    <row r="6" spans="1:43" ht="15" customHeight="1" x14ac:dyDescent="0.25">
      <c r="A6" s="259" t="s">
        <v>197</v>
      </c>
      <c r="B6" s="259"/>
      <c r="C6" s="334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6"/>
      <c r="Z6" s="582"/>
      <c r="AA6" s="583"/>
      <c r="AB6" s="583"/>
      <c r="AC6" s="584"/>
      <c r="AD6" s="545"/>
      <c r="AE6" s="273"/>
      <c r="AF6" s="273"/>
      <c r="AG6" s="543">
        <f t="shared" ref="AG6:AG11" si="0">AD6*AF6+AC6</f>
        <v>0</v>
      </c>
      <c r="AH6" s="543">
        <f t="shared" ref="AH6:AH11" si="1">AE6*AF6+AC6</f>
        <v>0</v>
      </c>
      <c r="AI6" s="543">
        <f t="shared" ref="AI6:AI11" si="2">AH6-AG6</f>
        <v>0</v>
      </c>
      <c r="AJ6" s="788"/>
      <c r="AK6" s="547"/>
      <c r="AL6" s="544"/>
      <c r="AM6" s="545"/>
      <c r="AN6" s="273"/>
      <c r="AO6" s="273"/>
      <c r="AP6" s="543">
        <f t="shared" ref="AP6:AP11" si="3">AM6*AO6</f>
        <v>0</v>
      </c>
      <c r="AQ6" s="547"/>
    </row>
    <row r="7" spans="1:43" ht="15" customHeight="1" x14ac:dyDescent="0.25">
      <c r="A7" s="259" t="s">
        <v>153</v>
      </c>
      <c r="B7" s="259"/>
      <c r="C7" s="337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9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9"/>
      <c r="Z7" s="585"/>
      <c r="AA7" s="586"/>
      <c r="AB7" s="586"/>
      <c r="AC7" s="587"/>
      <c r="AD7" s="545"/>
      <c r="AE7" s="273"/>
      <c r="AF7" s="273"/>
      <c r="AG7" s="543">
        <f t="shared" si="0"/>
        <v>0</v>
      </c>
      <c r="AH7" s="543">
        <f t="shared" si="1"/>
        <v>0</v>
      </c>
      <c r="AI7" s="543">
        <f t="shared" si="2"/>
        <v>0</v>
      </c>
      <c r="AJ7" s="788"/>
      <c r="AK7" s="548"/>
      <c r="AL7" s="545"/>
      <c r="AM7" s="545"/>
      <c r="AN7" s="273"/>
      <c r="AO7" s="273"/>
      <c r="AP7" s="543">
        <f t="shared" si="3"/>
        <v>0</v>
      </c>
      <c r="AQ7" s="548"/>
    </row>
    <row r="8" spans="1:43" ht="15" customHeight="1" x14ac:dyDescent="0.25">
      <c r="A8" s="259" t="s">
        <v>154</v>
      </c>
      <c r="B8" s="259"/>
      <c r="C8" s="337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9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9"/>
      <c r="Z8" s="585"/>
      <c r="AA8" s="586"/>
      <c r="AB8" s="586"/>
      <c r="AC8" s="587"/>
      <c r="AD8" s="545"/>
      <c r="AE8" s="273"/>
      <c r="AF8" s="273"/>
      <c r="AG8" s="543">
        <f t="shared" si="0"/>
        <v>0</v>
      </c>
      <c r="AH8" s="543">
        <f t="shared" si="1"/>
        <v>0</v>
      </c>
      <c r="AI8" s="543">
        <f t="shared" si="2"/>
        <v>0</v>
      </c>
      <c r="AJ8" s="788"/>
      <c r="AK8" s="548"/>
      <c r="AL8" s="545"/>
      <c r="AM8" s="545"/>
      <c r="AN8" s="273"/>
      <c r="AO8" s="273"/>
      <c r="AP8" s="543">
        <f t="shared" si="3"/>
        <v>0</v>
      </c>
      <c r="AQ8" s="548"/>
    </row>
    <row r="9" spans="1:43" ht="15" customHeight="1" x14ac:dyDescent="0.25">
      <c r="A9" s="259" t="s">
        <v>155</v>
      </c>
      <c r="B9" s="259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9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9"/>
      <c r="Z9" s="585"/>
      <c r="AA9" s="586"/>
      <c r="AB9" s="586"/>
      <c r="AC9" s="587"/>
      <c r="AD9" s="545"/>
      <c r="AE9" s="273"/>
      <c r="AF9" s="273"/>
      <c r="AG9" s="543">
        <f t="shared" si="0"/>
        <v>0</v>
      </c>
      <c r="AH9" s="543">
        <f t="shared" si="1"/>
        <v>0</v>
      </c>
      <c r="AI9" s="543">
        <f t="shared" si="2"/>
        <v>0</v>
      </c>
      <c r="AJ9" s="788"/>
      <c r="AK9" s="548"/>
      <c r="AL9" s="545"/>
      <c r="AM9" s="545"/>
      <c r="AN9" s="273"/>
      <c r="AO9" s="273"/>
      <c r="AP9" s="543">
        <f t="shared" si="3"/>
        <v>0</v>
      </c>
      <c r="AQ9" s="548"/>
    </row>
    <row r="10" spans="1:43" ht="15" customHeight="1" x14ac:dyDescent="0.25">
      <c r="A10" s="259" t="s">
        <v>156</v>
      </c>
      <c r="B10" s="259"/>
      <c r="C10" s="337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9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9"/>
      <c r="Z10" s="585"/>
      <c r="AA10" s="586"/>
      <c r="AB10" s="586"/>
      <c r="AC10" s="587"/>
      <c r="AD10" s="545"/>
      <c r="AE10" s="273"/>
      <c r="AF10" s="273"/>
      <c r="AG10" s="543">
        <f t="shared" si="0"/>
        <v>0</v>
      </c>
      <c r="AH10" s="543">
        <f t="shared" si="1"/>
        <v>0</v>
      </c>
      <c r="AI10" s="543">
        <f t="shared" si="2"/>
        <v>0</v>
      </c>
      <c r="AJ10" s="788"/>
      <c r="AK10" s="548"/>
      <c r="AL10" s="545"/>
      <c r="AM10" s="545"/>
      <c r="AN10" s="273"/>
      <c r="AO10" s="273"/>
      <c r="AP10" s="543">
        <f t="shared" si="3"/>
        <v>0</v>
      </c>
      <c r="AQ10" s="548"/>
    </row>
    <row r="11" spans="1:43" ht="15.9" customHeight="1" thickBot="1" x14ac:dyDescent="0.3">
      <c r="A11" s="260" t="s">
        <v>147</v>
      </c>
      <c r="B11" s="260"/>
      <c r="C11" s="340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2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588"/>
      <c r="AA11" s="589"/>
      <c r="AB11" s="589"/>
      <c r="AC11" s="590"/>
      <c r="AD11" s="546"/>
      <c r="AE11" s="274"/>
      <c r="AF11" s="274"/>
      <c r="AG11" s="581">
        <f t="shared" si="0"/>
        <v>0</v>
      </c>
      <c r="AH11" s="581">
        <f t="shared" si="1"/>
        <v>0</v>
      </c>
      <c r="AI11" s="581">
        <f t="shared" si="2"/>
        <v>0</v>
      </c>
      <c r="AJ11" s="789"/>
      <c r="AK11" s="549"/>
      <c r="AL11" s="546"/>
      <c r="AM11" s="546"/>
      <c r="AN11" s="274"/>
      <c r="AO11" s="274"/>
      <c r="AP11" s="543">
        <f t="shared" si="3"/>
        <v>0</v>
      </c>
      <c r="AQ11" s="549"/>
    </row>
    <row r="12" spans="1:43" ht="12.6" thickBot="1" x14ac:dyDescent="0.3">
      <c r="A12" s="253" t="s">
        <v>148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579"/>
      <c r="AA12" s="579"/>
      <c r="AB12" s="579"/>
      <c r="AC12" s="579">
        <f t="shared" ref="AC12:AI12" si="4">SUM(AC6:AC11)</f>
        <v>0</v>
      </c>
      <c r="AD12" s="269">
        <f t="shared" si="4"/>
        <v>0</v>
      </c>
      <c r="AE12" s="269">
        <f t="shared" si="4"/>
        <v>0</v>
      </c>
      <c r="AF12" s="269">
        <f t="shared" si="4"/>
        <v>0</v>
      </c>
      <c r="AG12" s="271">
        <f t="shared" si="4"/>
        <v>0</v>
      </c>
      <c r="AH12" s="271">
        <f t="shared" si="4"/>
        <v>0</v>
      </c>
      <c r="AI12" s="271">
        <f t="shared" si="4"/>
        <v>0</v>
      </c>
      <c r="AJ12" s="322">
        <v>0</v>
      </c>
      <c r="AK12" s="321"/>
      <c r="AL12" s="269"/>
      <c r="AM12" s="269">
        <f>SUM(AM6:AM11)</f>
        <v>0</v>
      </c>
      <c r="AN12" s="269">
        <f>SUM(AN6:AN11)</f>
        <v>0</v>
      </c>
      <c r="AO12" s="269">
        <f>SUM(AO6:AO11)</f>
        <v>0</v>
      </c>
      <c r="AP12" s="271">
        <f>SUM(AP6:AP11)</f>
        <v>0</v>
      </c>
      <c r="AQ12" s="271"/>
    </row>
    <row r="13" spans="1:43" x14ac:dyDescent="0.25">
      <c r="AH13" s="154"/>
      <c r="AI13" s="154"/>
      <c r="AJ13" s="154"/>
    </row>
    <row r="15" spans="1:43" ht="15.6" x14ac:dyDescent="0.3">
      <c r="AG15" s="155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topLeftCell="A4" zoomScale="85" zoomScaleNormal="80" zoomScaleSheetLayoutView="85" workbookViewId="0">
      <selection activeCell="F7" sqref="F7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503" t="s">
        <v>3</v>
      </c>
      <c r="B2" s="504" t="s">
        <v>4</v>
      </c>
      <c r="C2" s="505" t="s">
        <v>11</v>
      </c>
      <c r="D2" s="207">
        <v>10</v>
      </c>
    </row>
    <row r="3" spans="1:4" ht="41.4" customHeight="1" x14ac:dyDescent="0.3">
      <c r="A3" s="804" t="s">
        <v>5</v>
      </c>
      <c r="B3" s="815" t="s">
        <v>14</v>
      </c>
      <c r="C3" s="817" t="s">
        <v>12</v>
      </c>
      <c r="D3" s="806">
        <v>0.04</v>
      </c>
    </row>
    <row r="4" spans="1:4" ht="63" customHeight="1" thickBot="1" x14ac:dyDescent="0.35">
      <c r="A4" s="805"/>
      <c r="B4" s="816"/>
      <c r="C4" s="818"/>
      <c r="D4" s="807"/>
    </row>
    <row r="5" spans="1:4" ht="27.6" x14ac:dyDescent="0.3">
      <c r="A5" s="804" t="s">
        <v>6</v>
      </c>
      <c r="B5" s="506" t="s">
        <v>7</v>
      </c>
      <c r="C5" s="817" t="s">
        <v>12</v>
      </c>
      <c r="D5" s="808">
        <v>0.05</v>
      </c>
    </row>
    <row r="6" spans="1:4" ht="42" thickBot="1" x14ac:dyDescent="0.35">
      <c r="A6" s="805"/>
      <c r="B6" s="504" t="s">
        <v>8</v>
      </c>
      <c r="C6" s="818"/>
      <c r="D6" s="809"/>
    </row>
    <row r="7" spans="1:4" ht="28.2" thickBot="1" x14ac:dyDescent="0.35">
      <c r="A7" s="507" t="s">
        <v>174</v>
      </c>
      <c r="B7" s="508" t="s">
        <v>399</v>
      </c>
      <c r="C7" s="509" t="s">
        <v>13</v>
      </c>
      <c r="D7" s="206">
        <v>1523</v>
      </c>
    </row>
    <row r="8" spans="1:4" ht="15" customHeight="1" x14ac:dyDescent="0.3">
      <c r="A8" s="810" t="s">
        <v>9</v>
      </c>
      <c r="B8" s="800" t="s">
        <v>319</v>
      </c>
      <c r="C8" s="819" t="s">
        <v>15</v>
      </c>
      <c r="D8" s="812">
        <f>$D$7*1.352/(D12/12)</f>
        <v>12.622810727969348</v>
      </c>
    </row>
    <row r="9" spans="1:4" ht="57" customHeight="1" thickBot="1" x14ac:dyDescent="0.35">
      <c r="A9" s="811"/>
      <c r="B9" s="814"/>
      <c r="C9" s="820"/>
      <c r="D9" s="813"/>
    </row>
    <row r="10" spans="1:4" ht="14.4" customHeight="1" x14ac:dyDescent="0.3">
      <c r="A10" s="798" t="s">
        <v>175</v>
      </c>
      <c r="B10" s="800" t="s">
        <v>398</v>
      </c>
      <c r="C10" s="796" t="s">
        <v>15</v>
      </c>
      <c r="D10" s="802">
        <v>6.28</v>
      </c>
    </row>
    <row r="11" spans="1:4" ht="20.25" customHeight="1" thickBot="1" x14ac:dyDescent="0.35">
      <c r="A11" s="799"/>
      <c r="B11" s="801"/>
      <c r="C11" s="797"/>
      <c r="D11" s="803"/>
    </row>
    <row r="12" spans="1:4" ht="72" customHeight="1" thickBot="1" x14ac:dyDescent="0.35">
      <c r="A12" s="510" t="s">
        <v>316</v>
      </c>
      <c r="B12" s="508" t="s">
        <v>396</v>
      </c>
      <c r="C12" s="511" t="s">
        <v>317</v>
      </c>
      <c r="D12" s="513">
        <v>1957.5</v>
      </c>
    </row>
    <row r="13" spans="1:4" ht="72" customHeight="1" thickBot="1" x14ac:dyDescent="0.35">
      <c r="A13" s="510" t="s">
        <v>318</v>
      </c>
      <c r="B13" s="508" t="s">
        <v>397</v>
      </c>
      <c r="C13" s="511" t="s">
        <v>317</v>
      </c>
      <c r="D13" s="512">
        <v>2088</v>
      </c>
    </row>
    <row r="14" spans="1:4" ht="21" customHeight="1" thickBot="1" x14ac:dyDescent="0.35">
      <c r="A14" s="510" t="s">
        <v>25</v>
      </c>
      <c r="B14" s="510" t="s">
        <v>114</v>
      </c>
      <c r="C14" s="511" t="s">
        <v>11</v>
      </c>
      <c r="D14" s="109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zoomScale="107" zoomScaleNormal="60" zoomScaleSheetLayoutView="107" workbookViewId="0">
      <selection activeCell="S19" sqref="S19"/>
    </sheetView>
  </sheetViews>
  <sheetFormatPr defaultColWidth="8.88671875" defaultRowHeight="14.4" x14ac:dyDescent="0.3"/>
  <sheetData>
    <row r="1" spans="1:20" x14ac:dyDescent="0.3">
      <c r="A1" t="s">
        <v>218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x14ac:dyDescent="0.3">
      <c r="A2" t="s">
        <v>219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x14ac:dyDescent="0.3">
      <c r="A3" s="286" t="s">
        <v>220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7" t="s">
        <v>160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view="pageBreakPreview" zoomScale="60" zoomScaleNormal="80" workbookViewId="0">
      <selection activeCell="C39" sqref="C39"/>
    </sheetView>
  </sheetViews>
  <sheetFormatPr defaultColWidth="8.88671875" defaultRowHeight="14.4" x14ac:dyDescent="0.3"/>
  <cols>
    <col min="1" max="1" width="21.44140625" customWidth="1"/>
    <col min="2" max="2" width="14.44140625" customWidth="1"/>
    <col min="3" max="3" width="14.33203125" style="285" customWidth="1"/>
    <col min="4" max="4" width="14.109375" style="285" customWidth="1"/>
    <col min="5" max="5" width="14.88671875" style="285" customWidth="1"/>
    <col min="6" max="6" width="11.88671875" style="285" customWidth="1"/>
    <col min="7" max="7" width="15.88671875" style="285" customWidth="1"/>
    <col min="8" max="8" width="13.44140625" style="285" customWidth="1"/>
    <col min="9" max="9" width="10" style="285" customWidth="1"/>
    <col min="10" max="28" width="8.44140625" style="285" customWidth="1"/>
  </cols>
  <sheetData>
    <row r="1" spans="1:29" ht="15" thickBot="1" x14ac:dyDescent="0.35"/>
    <row r="2" spans="1:29" ht="48.75" customHeight="1" thickBot="1" x14ac:dyDescent="0.35">
      <c r="A2" s="288" t="s">
        <v>221</v>
      </c>
      <c r="B2" s="308" t="s">
        <v>222</v>
      </c>
      <c r="C2" s="306" t="s">
        <v>223</v>
      </c>
      <c r="D2" s="289" t="s">
        <v>224</v>
      </c>
      <c r="E2" s="289" t="s">
        <v>225</v>
      </c>
      <c r="F2" s="313" t="s">
        <v>214</v>
      </c>
      <c r="G2" s="308" t="s">
        <v>226</v>
      </c>
      <c r="H2" s="317" t="s">
        <v>223</v>
      </c>
      <c r="I2" s="290" t="s">
        <v>214</v>
      </c>
      <c r="O2" s="291"/>
      <c r="P2" s="292"/>
      <c r="Q2" s="292"/>
      <c r="R2" s="293"/>
      <c r="S2" s="293"/>
      <c r="T2" s="293"/>
      <c r="U2" s="293"/>
      <c r="V2" s="293"/>
      <c r="W2" s="293"/>
      <c r="X2" s="293"/>
      <c r="Y2" s="292"/>
      <c r="Z2" s="292"/>
      <c r="AA2" s="293"/>
      <c r="AB2" s="293"/>
      <c r="AC2" s="293"/>
    </row>
    <row r="3" spans="1:29" x14ac:dyDescent="0.3">
      <c r="A3" s="294" t="s">
        <v>162</v>
      </c>
      <c r="B3" s="309"/>
      <c r="C3" s="307"/>
      <c r="D3" s="303"/>
      <c r="E3" s="303"/>
      <c r="F3" s="314"/>
      <c r="G3" s="318"/>
      <c r="H3" s="307"/>
      <c r="I3" s="303"/>
      <c r="O3" s="295"/>
      <c r="P3" s="296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x14ac:dyDescent="0.3">
      <c r="A4" s="298" t="s">
        <v>227</v>
      </c>
      <c r="B4" s="310" t="s">
        <v>228</v>
      </c>
      <c r="C4" s="305"/>
      <c r="D4" s="304"/>
      <c r="E4" s="304"/>
      <c r="F4" s="315"/>
      <c r="G4" s="311"/>
      <c r="H4" s="305"/>
      <c r="I4" s="304"/>
      <c r="O4" s="295"/>
      <c r="P4" s="299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5.75" customHeight="1" x14ac:dyDescent="0.3">
      <c r="A5" s="300" t="s">
        <v>229</v>
      </c>
      <c r="B5" s="311"/>
      <c r="C5" s="305"/>
      <c r="D5" s="304"/>
      <c r="E5" s="304"/>
      <c r="F5" s="315"/>
      <c r="G5" s="311"/>
      <c r="H5" s="305"/>
      <c r="I5" s="304"/>
      <c r="O5" s="295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x14ac:dyDescent="0.3">
      <c r="A6" s="300" t="s">
        <v>230</v>
      </c>
      <c r="B6" s="311"/>
      <c r="C6" s="305"/>
      <c r="D6" s="304"/>
      <c r="E6" s="304"/>
      <c r="F6" s="315"/>
      <c r="G6" s="311"/>
      <c r="H6" s="305"/>
      <c r="I6" s="304"/>
      <c r="O6" s="295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x14ac:dyDescent="0.3">
      <c r="A7" s="300" t="s">
        <v>231</v>
      </c>
      <c r="B7" s="311"/>
      <c r="C7" s="305"/>
      <c r="D7" s="304"/>
      <c r="E7" s="304"/>
      <c r="F7" s="315"/>
      <c r="G7" s="311"/>
      <c r="H7" s="305"/>
      <c r="I7" s="304"/>
      <c r="O7" s="295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x14ac:dyDescent="0.3">
      <c r="A8" s="300" t="s">
        <v>232</v>
      </c>
      <c r="B8" s="311"/>
      <c r="C8" s="305"/>
      <c r="D8" s="304"/>
      <c r="E8" s="304"/>
      <c r="F8" s="315"/>
      <c r="G8" s="311"/>
      <c r="H8" s="305"/>
      <c r="I8" s="304"/>
      <c r="O8" s="295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x14ac:dyDescent="0.3">
      <c r="A9" s="300" t="s">
        <v>233</v>
      </c>
      <c r="B9" s="311"/>
      <c r="C9" s="305"/>
      <c r="D9" s="304"/>
      <c r="E9" s="304"/>
      <c r="F9" s="315"/>
      <c r="G9" s="311"/>
      <c r="H9" s="305"/>
      <c r="I9" s="304"/>
      <c r="O9" s="295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x14ac:dyDescent="0.3">
      <c r="A10" s="300" t="s">
        <v>234</v>
      </c>
      <c r="B10" s="311"/>
      <c r="C10" s="305"/>
      <c r="D10" s="304"/>
      <c r="E10" s="304"/>
      <c r="F10" s="315"/>
      <c r="G10" s="311"/>
      <c r="H10" s="305"/>
      <c r="I10" s="304"/>
      <c r="O10" s="295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x14ac:dyDescent="0.3">
      <c r="A11" s="300" t="s">
        <v>235</v>
      </c>
      <c r="B11" s="311"/>
      <c r="C11" s="305"/>
      <c r="D11" s="304"/>
      <c r="E11" s="304"/>
      <c r="F11" s="315"/>
      <c r="G11" s="311"/>
      <c r="H11" s="305"/>
      <c r="I11" s="304"/>
      <c r="O11" s="295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x14ac:dyDescent="0.3">
      <c r="A12" s="300" t="s">
        <v>236</v>
      </c>
      <c r="B12" s="311"/>
      <c r="C12" s="305"/>
      <c r="D12" s="304"/>
      <c r="E12" s="304"/>
      <c r="F12" s="315"/>
      <c r="G12" s="311"/>
      <c r="H12" s="305"/>
      <c r="I12" s="304"/>
      <c r="O12" s="295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x14ac:dyDescent="0.3">
      <c r="A13" s="300" t="s">
        <v>237</v>
      </c>
      <c r="B13" s="311"/>
      <c r="C13" s="305"/>
      <c r="D13" s="304"/>
      <c r="E13" s="304"/>
      <c r="F13" s="315"/>
      <c r="G13" s="311"/>
      <c r="H13" s="305"/>
      <c r="I13" s="304"/>
      <c r="O13" s="295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</row>
    <row r="14" spans="1:29" x14ac:dyDescent="0.3">
      <c r="A14" s="300" t="s">
        <v>238</v>
      </c>
      <c r="B14" s="311"/>
      <c r="C14" s="305"/>
      <c r="D14" s="304"/>
      <c r="E14" s="304"/>
      <c r="F14" s="315"/>
      <c r="G14" s="311"/>
      <c r="H14" s="305"/>
      <c r="I14" s="304"/>
      <c r="O14" s="295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</row>
    <row r="15" spans="1:29" x14ac:dyDescent="0.3">
      <c r="A15" s="300" t="s">
        <v>239</v>
      </c>
      <c r="B15" s="311"/>
      <c r="C15" s="305"/>
      <c r="D15" s="304"/>
      <c r="E15" s="304"/>
      <c r="F15" s="315"/>
      <c r="G15" s="311"/>
      <c r="H15" s="305"/>
      <c r="I15" s="304"/>
      <c r="O15" s="295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</row>
    <row r="16" spans="1:29" x14ac:dyDescent="0.3">
      <c r="A16" s="300" t="s">
        <v>240</v>
      </c>
      <c r="B16" s="311"/>
      <c r="C16" s="305"/>
      <c r="D16" s="304"/>
      <c r="E16" s="304"/>
      <c r="F16" s="315"/>
      <c r="G16" s="311"/>
      <c r="H16" s="305"/>
      <c r="I16" s="304"/>
      <c r="O16" s="295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</row>
    <row r="17" spans="1:29" x14ac:dyDescent="0.3">
      <c r="A17" s="300" t="s">
        <v>241</v>
      </c>
      <c r="B17" s="311"/>
      <c r="C17" s="305"/>
      <c r="D17" s="304"/>
      <c r="E17" s="304"/>
      <c r="F17" s="315"/>
      <c r="G17" s="311"/>
      <c r="H17" s="305"/>
      <c r="I17" s="304"/>
      <c r="O17" s="295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</row>
    <row r="18" spans="1:29" x14ac:dyDescent="0.3">
      <c r="A18" s="300" t="s">
        <v>242</v>
      </c>
      <c r="B18" s="311"/>
      <c r="C18" s="305"/>
      <c r="D18" s="304"/>
      <c r="E18" s="304"/>
      <c r="F18" s="315"/>
      <c r="G18" s="311"/>
      <c r="H18" s="305"/>
      <c r="I18" s="304"/>
      <c r="O18" s="295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</row>
    <row r="19" spans="1:29" x14ac:dyDescent="0.3">
      <c r="A19" s="300" t="s">
        <v>243</v>
      </c>
      <c r="B19" s="311"/>
      <c r="C19" s="305"/>
      <c r="D19" s="304"/>
      <c r="E19" s="304"/>
      <c r="F19" s="315"/>
      <c r="G19" s="311"/>
      <c r="H19" s="305"/>
      <c r="I19" s="304"/>
      <c r="O19" s="295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</row>
    <row r="20" spans="1:29" x14ac:dyDescent="0.3">
      <c r="A20" s="300" t="s">
        <v>244</v>
      </c>
      <c r="B20" s="311"/>
      <c r="C20" s="305"/>
      <c r="D20" s="304"/>
      <c r="E20" s="304"/>
      <c r="F20" s="315"/>
      <c r="G20" s="311"/>
      <c r="H20" s="305"/>
      <c r="I20" s="304"/>
      <c r="O20" s="295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</row>
    <row r="21" spans="1:29" x14ac:dyDescent="0.3">
      <c r="A21" s="300" t="s">
        <v>245</v>
      </c>
      <c r="B21" s="311"/>
      <c r="C21" s="305"/>
      <c r="D21" s="304"/>
      <c r="E21" s="304"/>
      <c r="F21" s="315"/>
      <c r="G21" s="311"/>
      <c r="H21" s="305"/>
      <c r="I21" s="304"/>
      <c r="O21" s="295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</row>
    <row r="22" spans="1:29" x14ac:dyDescent="0.3">
      <c r="A22" s="300" t="s">
        <v>246</v>
      </c>
      <c r="B22" s="311"/>
      <c r="C22" s="305"/>
      <c r="D22" s="304"/>
      <c r="E22" s="304"/>
      <c r="F22" s="315"/>
      <c r="G22" s="311"/>
      <c r="H22" s="305"/>
      <c r="I22" s="304"/>
      <c r="O22" s="295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</row>
    <row r="23" spans="1:29" x14ac:dyDescent="0.3">
      <c r="A23" s="300" t="s">
        <v>247</v>
      </c>
      <c r="B23" s="311"/>
      <c r="C23" s="305"/>
      <c r="D23" s="304"/>
      <c r="E23" s="304"/>
      <c r="F23" s="315"/>
      <c r="G23" s="311"/>
      <c r="H23" s="305"/>
      <c r="I23" s="304"/>
      <c r="O23" s="295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</row>
    <row r="24" spans="1:29" x14ac:dyDescent="0.3">
      <c r="A24" s="300" t="s">
        <v>248</v>
      </c>
      <c r="B24" s="311"/>
      <c r="C24" s="305"/>
      <c r="D24" s="304"/>
      <c r="E24" s="304"/>
      <c r="F24" s="315"/>
      <c r="G24" s="311"/>
      <c r="H24" s="305"/>
      <c r="I24" s="304"/>
      <c r="O24" s="295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</row>
    <row r="25" spans="1:29" x14ac:dyDescent="0.3">
      <c r="A25" s="300" t="s">
        <v>249</v>
      </c>
      <c r="B25" s="311"/>
      <c r="C25" s="305"/>
      <c r="D25" s="304"/>
      <c r="E25" s="304"/>
      <c r="F25" s="315"/>
      <c r="G25" s="311"/>
      <c r="H25" s="305"/>
      <c r="I25" s="304"/>
      <c r="O25" s="295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</row>
    <row r="26" spans="1:29" x14ac:dyDescent="0.3">
      <c r="A26" s="300" t="s">
        <v>250</v>
      </c>
      <c r="B26" s="311"/>
      <c r="C26" s="305"/>
      <c r="D26" s="304"/>
      <c r="E26" s="304"/>
      <c r="F26" s="315"/>
      <c r="G26" s="311"/>
      <c r="H26" s="305"/>
      <c r="I26" s="304"/>
      <c r="O26" s="295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</row>
    <row r="27" spans="1:29" x14ac:dyDescent="0.3">
      <c r="A27" s="300" t="s">
        <v>251</v>
      </c>
      <c r="B27" s="311"/>
      <c r="C27" s="305"/>
      <c r="D27" s="304"/>
      <c r="E27" s="304"/>
      <c r="F27" s="315"/>
      <c r="G27" s="311"/>
      <c r="H27" s="305"/>
      <c r="I27" s="304"/>
      <c r="O27" s="295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</row>
    <row r="28" spans="1:29" x14ac:dyDescent="0.3">
      <c r="A28" s="300" t="s">
        <v>252</v>
      </c>
      <c r="B28" s="311"/>
      <c r="C28" s="305"/>
      <c r="D28" s="304"/>
      <c r="E28" s="304"/>
      <c r="F28" s="315"/>
      <c r="G28" s="311"/>
      <c r="H28" s="305"/>
      <c r="I28" s="304"/>
      <c r="O28" s="295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</row>
    <row r="29" spans="1:29" x14ac:dyDescent="0.3">
      <c r="A29" s="300" t="s">
        <v>253</v>
      </c>
      <c r="B29" s="311"/>
      <c r="C29" s="305"/>
      <c r="D29" s="304"/>
      <c r="E29" s="304"/>
      <c r="F29" s="315"/>
      <c r="G29" s="311"/>
      <c r="H29" s="305"/>
      <c r="I29" s="304"/>
      <c r="O29" s="295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</row>
    <row r="30" spans="1:29" x14ac:dyDescent="0.3">
      <c r="A30" s="300" t="s">
        <v>254</v>
      </c>
      <c r="B30" s="311"/>
      <c r="C30" s="305"/>
      <c r="D30" s="304"/>
      <c r="E30" s="304"/>
      <c r="F30" s="315"/>
      <c r="G30" s="311"/>
      <c r="H30" s="305"/>
      <c r="I30" s="304"/>
      <c r="O30" s="295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</row>
    <row r="31" spans="1:29" x14ac:dyDescent="0.3">
      <c r="A31" s="300" t="s">
        <v>255</v>
      </c>
      <c r="B31" s="311"/>
      <c r="C31" s="305"/>
      <c r="D31" s="304"/>
      <c r="E31" s="304"/>
      <c r="F31" s="315"/>
      <c r="G31" s="311"/>
      <c r="H31" s="305"/>
      <c r="I31" s="304"/>
      <c r="O31" s="295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</row>
    <row r="32" spans="1:29" x14ac:dyDescent="0.3">
      <c r="A32" s="300" t="s">
        <v>256</v>
      </c>
      <c r="B32" s="311"/>
      <c r="C32" s="305"/>
      <c r="D32" s="304"/>
      <c r="E32" s="304"/>
      <c r="F32" s="315"/>
      <c r="G32" s="311"/>
      <c r="H32" s="305"/>
      <c r="I32" s="304"/>
      <c r="O32" s="295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</row>
    <row r="33" spans="1:29" x14ac:dyDescent="0.3">
      <c r="A33" s="300" t="s">
        <v>257</v>
      </c>
      <c r="B33" s="311"/>
      <c r="C33" s="305"/>
      <c r="D33" s="304"/>
      <c r="E33" s="304"/>
      <c r="F33" s="315"/>
      <c r="G33" s="311"/>
      <c r="H33" s="305"/>
      <c r="I33" s="304"/>
      <c r="O33" s="295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</row>
    <row r="34" spans="1:29" ht="15" thickBot="1" x14ac:dyDescent="0.35">
      <c r="A34" s="301" t="s">
        <v>258</v>
      </c>
      <c r="B34" s="312"/>
      <c r="C34" s="302"/>
      <c r="D34" s="255"/>
      <c r="E34" s="255"/>
      <c r="F34" s="316"/>
      <c r="G34" s="312"/>
      <c r="H34" s="302"/>
      <c r="I34" s="255"/>
      <c r="O34" s="295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7" spans="1:29" ht="15" thickBot="1" x14ac:dyDescent="0.35"/>
    <row r="38" spans="1:29" ht="43.8" thickBot="1" x14ac:dyDescent="0.35">
      <c r="A38" s="288" t="s">
        <v>259</v>
      </c>
      <c r="B38" s="308" t="s">
        <v>222</v>
      </c>
      <c r="C38" s="306" t="s">
        <v>223</v>
      </c>
      <c r="D38" s="289" t="s">
        <v>224</v>
      </c>
      <c r="E38" s="289" t="s">
        <v>225</v>
      </c>
      <c r="F38" s="313" t="s">
        <v>214</v>
      </c>
      <c r="G38" s="308" t="s">
        <v>226</v>
      </c>
      <c r="H38" s="317" t="s">
        <v>223</v>
      </c>
      <c r="I38" s="290" t="s">
        <v>214</v>
      </c>
    </row>
    <row r="39" spans="1:29" x14ac:dyDescent="0.3">
      <c r="A39" s="294" t="s">
        <v>162</v>
      </c>
      <c r="B39" s="309"/>
      <c r="C39" s="307"/>
      <c r="D39" s="303"/>
      <c r="E39" s="303"/>
      <c r="F39" s="314"/>
      <c r="G39" s="318"/>
      <c r="H39" s="307"/>
      <c r="I39" s="303"/>
    </row>
    <row r="40" spans="1:29" x14ac:dyDescent="0.3">
      <c r="A40" s="298" t="s">
        <v>227</v>
      </c>
      <c r="B40" s="310" t="s">
        <v>228</v>
      </c>
      <c r="C40" s="305"/>
      <c r="D40" s="304"/>
      <c r="E40" s="304"/>
      <c r="F40" s="315"/>
      <c r="G40" s="311"/>
      <c r="H40" s="305"/>
      <c r="I40" s="304"/>
    </row>
    <row r="41" spans="1:29" x14ac:dyDescent="0.3">
      <c r="A41" s="300" t="s">
        <v>229</v>
      </c>
      <c r="B41" s="311"/>
      <c r="C41" s="305"/>
      <c r="D41" s="304"/>
      <c r="E41" s="304"/>
      <c r="F41" s="315"/>
      <c r="G41" s="311"/>
      <c r="H41" s="305"/>
      <c r="I41" s="304"/>
    </row>
    <row r="42" spans="1:29" x14ac:dyDescent="0.3">
      <c r="A42" s="300" t="s">
        <v>230</v>
      </c>
      <c r="B42" s="311"/>
      <c r="C42" s="305"/>
      <c r="D42" s="304"/>
      <c r="E42" s="304"/>
      <c r="F42" s="315"/>
      <c r="G42" s="311"/>
      <c r="H42" s="305"/>
      <c r="I42" s="304"/>
    </row>
    <row r="43" spans="1:29" x14ac:dyDescent="0.3">
      <c r="A43" s="300" t="s">
        <v>231</v>
      </c>
      <c r="B43" s="311"/>
      <c r="C43" s="305"/>
      <c r="D43" s="304"/>
      <c r="E43" s="304"/>
      <c r="F43" s="315"/>
      <c r="G43" s="311"/>
      <c r="H43" s="305"/>
      <c r="I43" s="304"/>
    </row>
    <row r="44" spans="1:29" x14ac:dyDescent="0.3">
      <c r="A44" s="300" t="s">
        <v>232</v>
      </c>
      <c r="B44" s="311"/>
      <c r="C44" s="305"/>
      <c r="D44" s="304"/>
      <c r="E44" s="304"/>
      <c r="F44" s="315"/>
      <c r="G44" s="311"/>
      <c r="H44" s="305"/>
      <c r="I44" s="304"/>
    </row>
    <row r="45" spans="1:29" x14ac:dyDescent="0.3">
      <c r="A45" s="300" t="s">
        <v>233</v>
      </c>
      <c r="B45" s="311"/>
      <c r="C45" s="305"/>
      <c r="D45" s="304"/>
      <c r="E45" s="304"/>
      <c r="F45" s="315"/>
      <c r="G45" s="311"/>
      <c r="H45" s="305"/>
      <c r="I45" s="304"/>
    </row>
    <row r="46" spans="1:29" x14ac:dyDescent="0.3">
      <c r="A46" s="300" t="s">
        <v>234</v>
      </c>
      <c r="B46" s="311"/>
      <c r="C46" s="305"/>
      <c r="D46" s="304"/>
      <c r="E46" s="304"/>
      <c r="F46" s="315"/>
      <c r="G46" s="311"/>
      <c r="H46" s="305"/>
      <c r="I46" s="304"/>
    </row>
    <row r="47" spans="1:29" x14ac:dyDescent="0.3">
      <c r="A47" s="300" t="s">
        <v>235</v>
      </c>
      <c r="B47" s="311"/>
      <c r="C47" s="305"/>
      <c r="D47" s="304"/>
      <c r="E47" s="304"/>
      <c r="F47" s="315"/>
      <c r="G47" s="311"/>
      <c r="H47" s="305"/>
      <c r="I47" s="304"/>
    </row>
    <row r="48" spans="1:29" x14ac:dyDescent="0.3">
      <c r="A48" s="300" t="s">
        <v>236</v>
      </c>
      <c r="B48" s="311"/>
      <c r="C48" s="305"/>
      <c r="D48" s="304"/>
      <c r="E48" s="304"/>
      <c r="F48" s="315"/>
      <c r="G48" s="311"/>
      <c r="H48" s="305"/>
      <c r="I48" s="304"/>
    </row>
    <row r="49" spans="1:9" x14ac:dyDescent="0.3">
      <c r="A49" s="300" t="s">
        <v>237</v>
      </c>
      <c r="B49" s="311"/>
      <c r="C49" s="305"/>
      <c r="D49" s="304"/>
      <c r="E49" s="304"/>
      <c r="F49" s="315"/>
      <c r="G49" s="311"/>
      <c r="H49" s="305"/>
      <c r="I49" s="304"/>
    </row>
    <row r="50" spans="1:9" x14ac:dyDescent="0.3">
      <c r="A50" s="300" t="s">
        <v>238</v>
      </c>
      <c r="B50" s="311"/>
      <c r="C50" s="305"/>
      <c r="D50" s="304"/>
      <c r="E50" s="304"/>
      <c r="F50" s="315"/>
      <c r="G50" s="311"/>
      <c r="H50" s="305"/>
      <c r="I50" s="304"/>
    </row>
    <row r="51" spans="1:9" x14ac:dyDescent="0.3">
      <c r="A51" s="300" t="s">
        <v>239</v>
      </c>
      <c r="B51" s="311"/>
      <c r="C51" s="305"/>
      <c r="D51" s="304"/>
      <c r="E51" s="304"/>
      <c r="F51" s="315"/>
      <c r="G51" s="311"/>
      <c r="H51" s="305"/>
      <c r="I51" s="304"/>
    </row>
    <row r="52" spans="1:9" x14ac:dyDescent="0.3">
      <c r="A52" s="300" t="s">
        <v>240</v>
      </c>
      <c r="B52" s="311"/>
      <c r="C52" s="305"/>
      <c r="D52" s="304"/>
      <c r="E52" s="304"/>
      <c r="F52" s="315"/>
      <c r="G52" s="311"/>
      <c r="H52" s="305"/>
      <c r="I52" s="304"/>
    </row>
    <row r="53" spans="1:9" x14ac:dyDescent="0.3">
      <c r="A53" s="300" t="s">
        <v>241</v>
      </c>
      <c r="B53" s="311"/>
      <c r="C53" s="305"/>
      <c r="D53" s="304"/>
      <c r="E53" s="304"/>
      <c r="F53" s="315"/>
      <c r="G53" s="311"/>
      <c r="H53" s="305"/>
      <c r="I53" s="304"/>
    </row>
    <row r="54" spans="1:9" x14ac:dyDescent="0.3">
      <c r="A54" s="300" t="s">
        <v>242</v>
      </c>
      <c r="B54" s="311"/>
      <c r="C54" s="305"/>
      <c r="D54" s="304"/>
      <c r="E54" s="304"/>
      <c r="F54" s="315"/>
      <c r="G54" s="311"/>
      <c r="H54" s="305"/>
      <c r="I54" s="304"/>
    </row>
    <row r="55" spans="1:9" x14ac:dyDescent="0.3">
      <c r="A55" s="300" t="s">
        <v>243</v>
      </c>
      <c r="B55" s="311"/>
      <c r="C55" s="305"/>
      <c r="D55" s="304"/>
      <c r="E55" s="304"/>
      <c r="F55" s="315"/>
      <c r="G55" s="311"/>
      <c r="H55" s="305"/>
      <c r="I55" s="304"/>
    </row>
    <row r="56" spans="1:9" x14ac:dyDescent="0.3">
      <c r="A56" s="300" t="s">
        <v>244</v>
      </c>
      <c r="B56" s="311"/>
      <c r="C56" s="305"/>
      <c r="D56" s="304"/>
      <c r="E56" s="304"/>
      <c r="F56" s="315"/>
      <c r="G56" s="311"/>
      <c r="H56" s="305"/>
      <c r="I56" s="304"/>
    </row>
    <row r="57" spans="1:9" x14ac:dyDescent="0.3">
      <c r="A57" s="300" t="s">
        <v>245</v>
      </c>
      <c r="B57" s="311"/>
      <c r="C57" s="305"/>
      <c r="D57" s="304"/>
      <c r="E57" s="304"/>
      <c r="F57" s="315"/>
      <c r="G57" s="311"/>
      <c r="H57" s="305"/>
      <c r="I57" s="304"/>
    </row>
    <row r="58" spans="1:9" x14ac:dyDescent="0.3">
      <c r="A58" s="300" t="s">
        <v>246</v>
      </c>
      <c r="B58" s="311"/>
      <c r="C58" s="305"/>
      <c r="D58" s="304"/>
      <c r="E58" s="304"/>
      <c r="F58" s="315"/>
      <c r="G58" s="311"/>
      <c r="H58" s="305"/>
      <c r="I58" s="304"/>
    </row>
    <row r="59" spans="1:9" x14ac:dyDescent="0.3">
      <c r="A59" s="300" t="s">
        <v>247</v>
      </c>
      <c r="B59" s="311"/>
      <c r="C59" s="305"/>
      <c r="D59" s="304"/>
      <c r="E59" s="304"/>
      <c r="F59" s="315"/>
      <c r="G59" s="311"/>
      <c r="H59" s="305"/>
      <c r="I59" s="304"/>
    </row>
    <row r="60" spans="1:9" x14ac:dyDescent="0.3">
      <c r="A60" s="300" t="s">
        <v>248</v>
      </c>
      <c r="B60" s="311"/>
      <c r="C60" s="305"/>
      <c r="D60" s="304"/>
      <c r="E60" s="304"/>
      <c r="F60" s="315"/>
      <c r="G60" s="311"/>
      <c r="H60" s="305"/>
      <c r="I60" s="304"/>
    </row>
    <row r="61" spans="1:9" x14ac:dyDescent="0.3">
      <c r="A61" s="300" t="s">
        <v>249</v>
      </c>
      <c r="B61" s="311"/>
      <c r="C61" s="305"/>
      <c r="D61" s="304"/>
      <c r="E61" s="304"/>
      <c r="F61" s="315"/>
      <c r="G61" s="311"/>
      <c r="H61" s="305"/>
      <c r="I61" s="304"/>
    </row>
    <row r="62" spans="1:9" x14ac:dyDescent="0.3">
      <c r="A62" s="300" t="s">
        <v>250</v>
      </c>
      <c r="B62" s="311"/>
      <c r="C62" s="305"/>
      <c r="D62" s="304"/>
      <c r="E62" s="304"/>
      <c r="F62" s="315"/>
      <c r="G62" s="311"/>
      <c r="H62" s="305"/>
      <c r="I62" s="304"/>
    </row>
    <row r="63" spans="1:9" x14ac:dyDescent="0.3">
      <c r="A63" s="300" t="s">
        <v>251</v>
      </c>
      <c r="B63" s="311"/>
      <c r="C63" s="305"/>
      <c r="D63" s="304"/>
      <c r="E63" s="304"/>
      <c r="F63" s="315"/>
      <c r="G63" s="311"/>
      <c r="H63" s="305"/>
      <c r="I63" s="304"/>
    </row>
    <row r="64" spans="1:9" x14ac:dyDescent="0.3">
      <c r="A64" s="300" t="s">
        <v>252</v>
      </c>
      <c r="B64" s="311"/>
      <c r="C64" s="305"/>
      <c r="D64" s="304"/>
      <c r="E64" s="304"/>
      <c r="F64" s="315"/>
      <c r="G64" s="311"/>
      <c r="H64" s="305"/>
      <c r="I64" s="304"/>
    </row>
    <row r="65" spans="1:9" x14ac:dyDescent="0.3">
      <c r="A65" s="300" t="s">
        <v>253</v>
      </c>
      <c r="B65" s="311"/>
      <c r="C65" s="305"/>
      <c r="D65" s="304"/>
      <c r="E65" s="304"/>
      <c r="F65" s="315"/>
      <c r="G65" s="311"/>
      <c r="H65" s="305"/>
      <c r="I65" s="304"/>
    </row>
    <row r="66" spans="1:9" x14ac:dyDescent="0.3">
      <c r="A66" s="300" t="s">
        <v>254</v>
      </c>
      <c r="B66" s="311"/>
      <c r="C66" s="305"/>
      <c r="D66" s="304"/>
      <c r="E66" s="304"/>
      <c r="F66" s="315"/>
      <c r="G66" s="311"/>
      <c r="H66" s="305"/>
      <c r="I66" s="304"/>
    </row>
    <row r="67" spans="1:9" x14ac:dyDescent="0.3">
      <c r="A67" s="300" t="s">
        <v>255</v>
      </c>
      <c r="B67" s="311"/>
      <c r="C67" s="305"/>
      <c r="D67" s="304"/>
      <c r="E67" s="304"/>
      <c r="F67" s="315"/>
      <c r="G67" s="311"/>
      <c r="H67" s="305"/>
      <c r="I67" s="304"/>
    </row>
    <row r="68" spans="1:9" x14ac:dyDescent="0.3">
      <c r="A68" s="300" t="s">
        <v>256</v>
      </c>
      <c r="B68" s="311"/>
      <c r="C68" s="305"/>
      <c r="D68" s="304"/>
      <c r="E68" s="304"/>
      <c r="F68" s="315"/>
      <c r="G68" s="311"/>
      <c r="H68" s="305"/>
      <c r="I68" s="304"/>
    </row>
    <row r="69" spans="1:9" x14ac:dyDescent="0.3">
      <c r="A69" s="300" t="s">
        <v>257</v>
      </c>
      <c r="B69" s="311"/>
      <c r="C69" s="305"/>
      <c r="D69" s="304"/>
      <c r="E69" s="304"/>
      <c r="F69" s="315"/>
      <c r="G69" s="311"/>
      <c r="H69" s="305"/>
      <c r="I69" s="304"/>
    </row>
    <row r="70" spans="1:9" ht="15" thickBot="1" x14ac:dyDescent="0.35">
      <c r="A70" s="301" t="s">
        <v>258</v>
      </c>
      <c r="B70" s="312"/>
      <c r="C70" s="302"/>
      <c r="D70" s="255"/>
      <c r="E70" s="255"/>
      <c r="F70" s="316"/>
      <c r="G70" s="312"/>
      <c r="H70" s="302"/>
      <c r="I70" s="255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zoomScale="60" zoomScaleNormal="100" workbookViewId="0">
      <selection activeCell="Q35" sqref="Q35"/>
    </sheetView>
  </sheetViews>
  <sheetFormatPr defaultColWidth="8.88671875" defaultRowHeight="14.4" x14ac:dyDescent="0.3"/>
  <cols>
    <col min="1" max="1" width="21.44140625" customWidth="1"/>
    <col min="2" max="2" width="14.44140625" customWidth="1"/>
    <col min="3" max="3" width="14.33203125" style="285" customWidth="1"/>
    <col min="4" max="4" width="14.109375" style="285" customWidth="1"/>
    <col min="5" max="5" width="14.88671875" style="285" customWidth="1"/>
    <col min="6" max="6" width="11.88671875" style="285" customWidth="1"/>
    <col min="7" max="7" width="15.88671875" style="285" customWidth="1"/>
    <col min="8" max="8" width="13.44140625" style="285" customWidth="1"/>
    <col min="9" max="28" width="8.44140625" style="285" customWidth="1"/>
  </cols>
  <sheetData>
    <row r="1" spans="1:29" ht="15" thickBot="1" x14ac:dyDescent="0.35"/>
    <row r="2" spans="1:29" ht="48.75" customHeight="1" thickBot="1" x14ac:dyDescent="0.35">
      <c r="A2" s="288" t="s">
        <v>221</v>
      </c>
      <c r="B2" s="308" t="s">
        <v>222</v>
      </c>
      <c r="C2" s="306" t="s">
        <v>223</v>
      </c>
      <c r="D2" s="289" t="s">
        <v>224</v>
      </c>
      <c r="E2" s="289" t="s">
        <v>225</v>
      </c>
      <c r="F2" s="313" t="s">
        <v>214</v>
      </c>
      <c r="G2" s="308" t="s">
        <v>226</v>
      </c>
      <c r="H2" s="317" t="s">
        <v>223</v>
      </c>
      <c r="I2" s="290" t="s">
        <v>214</v>
      </c>
      <c r="O2" s="291"/>
      <c r="P2" s="292"/>
      <c r="Q2" s="292"/>
      <c r="R2" s="293"/>
      <c r="S2" s="293"/>
      <c r="T2" s="293"/>
      <c r="U2" s="293"/>
      <c r="V2" s="293"/>
      <c r="W2" s="293"/>
      <c r="X2" s="293"/>
      <c r="Y2" s="292"/>
      <c r="Z2" s="292"/>
      <c r="AA2" s="293"/>
      <c r="AB2" s="293"/>
      <c r="AC2" s="293"/>
    </row>
    <row r="3" spans="1:29" x14ac:dyDescent="0.3">
      <c r="A3" s="294" t="s">
        <v>162</v>
      </c>
      <c r="B3" s="309"/>
      <c r="C3" s="307"/>
      <c r="D3" s="303"/>
      <c r="E3" s="303"/>
      <c r="F3" s="314"/>
      <c r="G3" s="318"/>
      <c r="H3" s="307"/>
      <c r="I3" s="303"/>
      <c r="O3" s="295"/>
      <c r="P3" s="296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x14ac:dyDescent="0.3">
      <c r="A4" s="298" t="s">
        <v>227</v>
      </c>
      <c r="B4" s="310" t="s">
        <v>228</v>
      </c>
      <c r="C4" s="305"/>
      <c r="D4" s="304"/>
      <c r="E4" s="304"/>
      <c r="F4" s="315"/>
      <c r="G4" s="311"/>
      <c r="H4" s="305"/>
      <c r="I4" s="304"/>
      <c r="O4" s="295"/>
      <c r="P4" s="299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5.75" customHeight="1" x14ac:dyDescent="0.3">
      <c r="A5" s="300" t="s">
        <v>229</v>
      </c>
      <c r="B5" s="311"/>
      <c r="C5" s="305"/>
      <c r="D5" s="304"/>
      <c r="E5" s="304"/>
      <c r="F5" s="315"/>
      <c r="G5" s="311"/>
      <c r="H5" s="305"/>
      <c r="I5" s="304"/>
      <c r="O5" s="295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x14ac:dyDescent="0.3">
      <c r="A6" s="300" t="s">
        <v>230</v>
      </c>
      <c r="B6" s="311"/>
      <c r="C6" s="305"/>
      <c r="D6" s="304"/>
      <c r="E6" s="304"/>
      <c r="F6" s="315"/>
      <c r="G6" s="311"/>
      <c r="H6" s="305"/>
      <c r="I6" s="304"/>
      <c r="O6" s="295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x14ac:dyDescent="0.3">
      <c r="A7" s="300" t="s">
        <v>231</v>
      </c>
      <c r="B7" s="311"/>
      <c r="C7" s="305"/>
      <c r="D7" s="304"/>
      <c r="E7" s="304"/>
      <c r="F7" s="315"/>
      <c r="G7" s="311"/>
      <c r="H7" s="305"/>
      <c r="I7" s="304"/>
      <c r="O7" s="295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x14ac:dyDescent="0.3">
      <c r="A8" s="300" t="s">
        <v>232</v>
      </c>
      <c r="B8" s="311"/>
      <c r="C8" s="305"/>
      <c r="D8" s="304"/>
      <c r="E8" s="304"/>
      <c r="F8" s="315"/>
      <c r="G8" s="311"/>
      <c r="H8" s="305"/>
      <c r="I8" s="304"/>
      <c r="O8" s="295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x14ac:dyDescent="0.3">
      <c r="A9" s="300" t="s">
        <v>233</v>
      </c>
      <c r="B9" s="311"/>
      <c r="C9" s="305"/>
      <c r="D9" s="304"/>
      <c r="E9" s="304"/>
      <c r="F9" s="315"/>
      <c r="G9" s="311"/>
      <c r="H9" s="305"/>
      <c r="I9" s="304"/>
      <c r="O9" s="295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x14ac:dyDescent="0.3">
      <c r="A10" s="300" t="s">
        <v>234</v>
      </c>
      <c r="B10" s="311"/>
      <c r="C10" s="305"/>
      <c r="D10" s="304"/>
      <c r="E10" s="304"/>
      <c r="F10" s="315"/>
      <c r="G10" s="311"/>
      <c r="H10" s="305"/>
      <c r="I10" s="304"/>
      <c r="O10" s="295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x14ac:dyDescent="0.3">
      <c r="A11" s="300" t="s">
        <v>235</v>
      </c>
      <c r="B11" s="311"/>
      <c r="C11" s="305"/>
      <c r="D11" s="304"/>
      <c r="E11" s="304"/>
      <c r="F11" s="315"/>
      <c r="G11" s="311"/>
      <c r="H11" s="305"/>
      <c r="I11" s="304"/>
      <c r="O11" s="295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x14ac:dyDescent="0.3">
      <c r="A12" s="300" t="s">
        <v>236</v>
      </c>
      <c r="B12" s="311"/>
      <c r="C12" s="305"/>
      <c r="D12" s="304"/>
      <c r="E12" s="304"/>
      <c r="F12" s="315"/>
      <c r="G12" s="311"/>
      <c r="H12" s="305"/>
      <c r="I12" s="304"/>
      <c r="O12" s="295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x14ac:dyDescent="0.3">
      <c r="A13" s="300" t="s">
        <v>237</v>
      </c>
      <c r="B13" s="311"/>
      <c r="C13" s="305"/>
      <c r="D13" s="304"/>
      <c r="E13" s="304"/>
      <c r="F13" s="315"/>
      <c r="G13" s="311"/>
      <c r="H13" s="305"/>
      <c r="I13" s="304"/>
      <c r="O13" s="295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</row>
    <row r="14" spans="1:29" x14ac:dyDescent="0.3">
      <c r="A14" s="300" t="s">
        <v>238</v>
      </c>
      <c r="B14" s="311"/>
      <c r="C14" s="305"/>
      <c r="D14" s="304"/>
      <c r="E14" s="304"/>
      <c r="F14" s="315"/>
      <c r="G14" s="311"/>
      <c r="H14" s="305"/>
      <c r="I14" s="304"/>
      <c r="O14" s="295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</row>
    <row r="15" spans="1:29" x14ac:dyDescent="0.3">
      <c r="A15" s="300" t="s">
        <v>239</v>
      </c>
      <c r="B15" s="311"/>
      <c r="C15" s="305"/>
      <c r="D15" s="304"/>
      <c r="E15" s="304"/>
      <c r="F15" s="315"/>
      <c r="G15" s="311"/>
      <c r="H15" s="305"/>
      <c r="I15" s="304"/>
      <c r="O15" s="295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</row>
    <row r="16" spans="1:29" x14ac:dyDescent="0.3">
      <c r="A16" s="300" t="s">
        <v>240</v>
      </c>
      <c r="B16" s="311"/>
      <c r="C16" s="305"/>
      <c r="D16" s="304"/>
      <c r="E16" s="304"/>
      <c r="F16" s="315"/>
      <c r="G16" s="311"/>
      <c r="H16" s="305"/>
      <c r="I16" s="304"/>
      <c r="O16" s="295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</row>
    <row r="17" spans="1:29" x14ac:dyDescent="0.3">
      <c r="A17" s="300" t="s">
        <v>241</v>
      </c>
      <c r="B17" s="311"/>
      <c r="C17" s="305"/>
      <c r="D17" s="304"/>
      <c r="E17" s="304"/>
      <c r="F17" s="315"/>
      <c r="G17" s="311"/>
      <c r="H17" s="305"/>
      <c r="I17" s="304"/>
      <c r="O17" s="295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</row>
    <row r="18" spans="1:29" x14ac:dyDescent="0.3">
      <c r="A18" s="300" t="s">
        <v>242</v>
      </c>
      <c r="B18" s="311"/>
      <c r="C18" s="305"/>
      <c r="D18" s="304"/>
      <c r="E18" s="304"/>
      <c r="F18" s="315"/>
      <c r="G18" s="311"/>
      <c r="H18" s="305"/>
      <c r="I18" s="304"/>
      <c r="O18" s="295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</row>
    <row r="19" spans="1:29" x14ac:dyDescent="0.3">
      <c r="A19" s="300" t="s">
        <v>243</v>
      </c>
      <c r="B19" s="311"/>
      <c r="C19" s="305"/>
      <c r="D19" s="304"/>
      <c r="E19" s="304"/>
      <c r="F19" s="315"/>
      <c r="G19" s="311"/>
      <c r="H19" s="305"/>
      <c r="I19" s="304"/>
      <c r="O19" s="295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</row>
    <row r="20" spans="1:29" x14ac:dyDescent="0.3">
      <c r="A20" s="300" t="s">
        <v>244</v>
      </c>
      <c r="B20" s="311"/>
      <c r="C20" s="305"/>
      <c r="D20" s="304"/>
      <c r="E20" s="304"/>
      <c r="F20" s="315"/>
      <c r="G20" s="311"/>
      <c r="H20" s="305"/>
      <c r="I20" s="304"/>
      <c r="O20" s="295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</row>
    <row r="21" spans="1:29" x14ac:dyDescent="0.3">
      <c r="A21" s="300" t="s">
        <v>245</v>
      </c>
      <c r="B21" s="311"/>
      <c r="C21" s="305"/>
      <c r="D21" s="304"/>
      <c r="E21" s="304"/>
      <c r="F21" s="315"/>
      <c r="G21" s="311"/>
      <c r="H21" s="305"/>
      <c r="I21" s="304"/>
      <c r="O21" s="295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</row>
    <row r="22" spans="1:29" x14ac:dyDescent="0.3">
      <c r="A22" s="300" t="s">
        <v>246</v>
      </c>
      <c r="B22" s="311"/>
      <c r="C22" s="305"/>
      <c r="D22" s="304"/>
      <c r="E22" s="304"/>
      <c r="F22" s="315"/>
      <c r="G22" s="311"/>
      <c r="H22" s="305"/>
      <c r="I22" s="304"/>
      <c r="O22" s="295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</row>
    <row r="23" spans="1:29" x14ac:dyDescent="0.3">
      <c r="A23" s="300" t="s">
        <v>247</v>
      </c>
      <c r="B23" s="311"/>
      <c r="C23" s="305"/>
      <c r="D23" s="304"/>
      <c r="E23" s="304"/>
      <c r="F23" s="315"/>
      <c r="G23" s="311"/>
      <c r="H23" s="305"/>
      <c r="I23" s="304"/>
      <c r="O23" s="295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</row>
    <row r="24" spans="1:29" x14ac:dyDescent="0.3">
      <c r="A24" s="300" t="s">
        <v>248</v>
      </c>
      <c r="B24" s="311"/>
      <c r="C24" s="305"/>
      <c r="D24" s="304"/>
      <c r="E24" s="304"/>
      <c r="F24" s="315"/>
      <c r="G24" s="311"/>
      <c r="H24" s="305"/>
      <c r="I24" s="304"/>
      <c r="O24" s="295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</row>
    <row r="25" spans="1:29" x14ac:dyDescent="0.3">
      <c r="A25" s="300" t="s">
        <v>249</v>
      </c>
      <c r="B25" s="311"/>
      <c r="C25" s="305"/>
      <c r="D25" s="304"/>
      <c r="E25" s="304"/>
      <c r="F25" s="315"/>
      <c r="G25" s="311"/>
      <c r="H25" s="305"/>
      <c r="I25" s="304"/>
      <c r="O25" s="295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</row>
    <row r="26" spans="1:29" x14ac:dyDescent="0.3">
      <c r="A26" s="300" t="s">
        <v>250</v>
      </c>
      <c r="B26" s="311"/>
      <c r="C26" s="305"/>
      <c r="D26" s="304"/>
      <c r="E26" s="304"/>
      <c r="F26" s="315"/>
      <c r="G26" s="311"/>
      <c r="H26" s="305"/>
      <c r="I26" s="304"/>
      <c r="O26" s="295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</row>
    <row r="27" spans="1:29" x14ac:dyDescent="0.3">
      <c r="A27" s="300" t="s">
        <v>251</v>
      </c>
      <c r="B27" s="311"/>
      <c r="C27" s="305"/>
      <c r="D27" s="304"/>
      <c r="E27" s="304"/>
      <c r="F27" s="315"/>
      <c r="G27" s="311"/>
      <c r="H27" s="305"/>
      <c r="I27" s="304"/>
      <c r="O27" s="295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</row>
    <row r="28" spans="1:29" x14ac:dyDescent="0.3">
      <c r="A28" s="300" t="s">
        <v>252</v>
      </c>
      <c r="B28" s="311"/>
      <c r="C28" s="305"/>
      <c r="D28" s="304"/>
      <c r="E28" s="304"/>
      <c r="F28" s="315"/>
      <c r="G28" s="311"/>
      <c r="H28" s="305"/>
      <c r="I28" s="304"/>
      <c r="O28" s="295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</row>
    <row r="29" spans="1:29" x14ac:dyDescent="0.3">
      <c r="A29" s="300" t="s">
        <v>253</v>
      </c>
      <c r="B29" s="311"/>
      <c r="C29" s="305"/>
      <c r="D29" s="304"/>
      <c r="E29" s="304"/>
      <c r="F29" s="315"/>
      <c r="G29" s="311"/>
      <c r="H29" s="305"/>
      <c r="I29" s="304"/>
      <c r="O29" s="295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</row>
    <row r="30" spans="1:29" x14ac:dyDescent="0.3">
      <c r="A30" s="300" t="s">
        <v>254</v>
      </c>
      <c r="B30" s="311"/>
      <c r="C30" s="305"/>
      <c r="D30" s="304"/>
      <c r="E30" s="304"/>
      <c r="F30" s="315"/>
      <c r="G30" s="311"/>
      <c r="H30" s="305"/>
      <c r="I30" s="304"/>
      <c r="O30" s="295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</row>
    <row r="31" spans="1:29" x14ac:dyDescent="0.3">
      <c r="A31" s="300" t="s">
        <v>255</v>
      </c>
      <c r="B31" s="311"/>
      <c r="C31" s="305"/>
      <c r="D31" s="304"/>
      <c r="E31" s="304"/>
      <c r="F31" s="315"/>
      <c r="G31" s="311"/>
      <c r="H31" s="305"/>
      <c r="I31" s="304"/>
      <c r="O31" s="295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</row>
    <row r="32" spans="1:29" x14ac:dyDescent="0.3">
      <c r="A32" s="300" t="s">
        <v>256</v>
      </c>
      <c r="B32" s="311"/>
      <c r="C32" s="305"/>
      <c r="D32" s="304"/>
      <c r="E32" s="304"/>
      <c r="F32" s="315"/>
      <c r="G32" s="311"/>
      <c r="H32" s="305"/>
      <c r="I32" s="304"/>
      <c r="O32" s="295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</row>
    <row r="33" spans="1:29" x14ac:dyDescent="0.3">
      <c r="A33" s="300" t="s">
        <v>257</v>
      </c>
      <c r="B33" s="311"/>
      <c r="C33" s="305"/>
      <c r="D33" s="304"/>
      <c r="E33" s="304"/>
      <c r="F33" s="315"/>
      <c r="G33" s="311"/>
      <c r="H33" s="305"/>
      <c r="I33" s="304"/>
      <c r="O33" s="295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</row>
    <row r="34" spans="1:29" ht="15" thickBot="1" x14ac:dyDescent="0.35">
      <c r="A34" s="301" t="s">
        <v>258</v>
      </c>
      <c r="B34" s="312"/>
      <c r="C34" s="302"/>
      <c r="D34" s="255"/>
      <c r="E34" s="255"/>
      <c r="F34" s="316"/>
      <c r="G34" s="312"/>
      <c r="H34" s="302"/>
      <c r="I34" s="255"/>
      <c r="O34" s="295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7" spans="1:29" ht="15" thickBot="1" x14ac:dyDescent="0.35"/>
    <row r="38" spans="1:29" ht="43.8" thickBot="1" x14ac:dyDescent="0.35">
      <c r="A38" s="288" t="s">
        <v>259</v>
      </c>
      <c r="B38" s="308" t="s">
        <v>222</v>
      </c>
      <c r="C38" s="306" t="s">
        <v>223</v>
      </c>
      <c r="D38" s="289" t="s">
        <v>224</v>
      </c>
      <c r="E38" s="289" t="s">
        <v>225</v>
      </c>
      <c r="F38" s="313" t="s">
        <v>214</v>
      </c>
      <c r="G38" s="308" t="s">
        <v>226</v>
      </c>
      <c r="H38" s="317" t="s">
        <v>223</v>
      </c>
      <c r="I38" s="290" t="s">
        <v>214</v>
      </c>
    </row>
    <row r="39" spans="1:29" x14ac:dyDescent="0.3">
      <c r="A39" s="294" t="s">
        <v>162</v>
      </c>
      <c r="B39" s="309"/>
      <c r="C39" s="307"/>
      <c r="D39" s="303"/>
      <c r="E39" s="303"/>
      <c r="F39" s="314"/>
      <c r="G39" s="318"/>
      <c r="H39" s="307"/>
      <c r="I39" s="303"/>
    </row>
    <row r="40" spans="1:29" x14ac:dyDescent="0.3">
      <c r="A40" s="298" t="s">
        <v>227</v>
      </c>
      <c r="B40" s="310" t="s">
        <v>228</v>
      </c>
      <c r="C40" s="305"/>
      <c r="D40" s="304"/>
      <c r="E40" s="304"/>
      <c r="F40" s="315"/>
      <c r="G40" s="311"/>
      <c r="H40" s="305"/>
      <c r="I40" s="304"/>
    </row>
    <row r="41" spans="1:29" x14ac:dyDescent="0.3">
      <c r="A41" s="300" t="s">
        <v>229</v>
      </c>
      <c r="B41" s="311"/>
      <c r="C41" s="305"/>
      <c r="D41" s="304"/>
      <c r="E41" s="304"/>
      <c r="F41" s="315"/>
      <c r="G41" s="311"/>
      <c r="H41" s="305"/>
      <c r="I41" s="304"/>
    </row>
    <row r="42" spans="1:29" x14ac:dyDescent="0.3">
      <c r="A42" s="300" t="s">
        <v>230</v>
      </c>
      <c r="B42" s="311"/>
      <c r="C42" s="305"/>
      <c r="D42" s="304"/>
      <c r="E42" s="304"/>
      <c r="F42" s="315"/>
      <c r="G42" s="311"/>
      <c r="H42" s="305"/>
      <c r="I42" s="304"/>
    </row>
    <row r="43" spans="1:29" x14ac:dyDescent="0.3">
      <c r="A43" s="300" t="s">
        <v>231</v>
      </c>
      <c r="B43" s="311"/>
      <c r="C43" s="305"/>
      <c r="D43" s="304"/>
      <c r="E43" s="304"/>
      <c r="F43" s="315"/>
      <c r="G43" s="311"/>
      <c r="H43" s="305"/>
      <c r="I43" s="304"/>
    </row>
    <row r="44" spans="1:29" x14ac:dyDescent="0.3">
      <c r="A44" s="300" t="s">
        <v>232</v>
      </c>
      <c r="B44" s="311"/>
      <c r="C44" s="305"/>
      <c r="D44" s="304"/>
      <c r="E44" s="304"/>
      <c r="F44" s="315"/>
      <c r="G44" s="311"/>
      <c r="H44" s="305"/>
      <c r="I44" s="304"/>
    </row>
    <row r="45" spans="1:29" x14ac:dyDescent="0.3">
      <c r="A45" s="300" t="s">
        <v>233</v>
      </c>
      <c r="B45" s="311"/>
      <c r="C45" s="305"/>
      <c r="D45" s="304"/>
      <c r="E45" s="304"/>
      <c r="F45" s="315"/>
      <c r="G45" s="311"/>
      <c r="H45" s="305"/>
      <c r="I45" s="304"/>
    </row>
    <row r="46" spans="1:29" x14ac:dyDescent="0.3">
      <c r="A46" s="300" t="s">
        <v>234</v>
      </c>
      <c r="B46" s="311"/>
      <c r="C46" s="305"/>
      <c r="D46" s="304"/>
      <c r="E46" s="304"/>
      <c r="F46" s="315"/>
      <c r="G46" s="311"/>
      <c r="H46" s="305"/>
      <c r="I46" s="304"/>
    </row>
    <row r="47" spans="1:29" x14ac:dyDescent="0.3">
      <c r="A47" s="300" t="s">
        <v>235</v>
      </c>
      <c r="B47" s="311"/>
      <c r="C47" s="305"/>
      <c r="D47" s="304"/>
      <c r="E47" s="304"/>
      <c r="F47" s="315"/>
      <c r="G47" s="311"/>
      <c r="H47" s="305"/>
      <c r="I47" s="304"/>
    </row>
    <row r="48" spans="1:29" x14ac:dyDescent="0.3">
      <c r="A48" s="300" t="s">
        <v>236</v>
      </c>
      <c r="B48" s="311"/>
      <c r="C48" s="305"/>
      <c r="D48" s="304"/>
      <c r="E48" s="304"/>
      <c r="F48" s="315"/>
      <c r="G48" s="311"/>
      <c r="H48" s="305"/>
      <c r="I48" s="304"/>
    </row>
    <row r="49" spans="1:9" x14ac:dyDescent="0.3">
      <c r="A49" s="300" t="s">
        <v>237</v>
      </c>
      <c r="B49" s="311"/>
      <c r="C49" s="305"/>
      <c r="D49" s="304"/>
      <c r="E49" s="304"/>
      <c r="F49" s="315"/>
      <c r="G49" s="311"/>
      <c r="H49" s="305"/>
      <c r="I49" s="304"/>
    </row>
    <row r="50" spans="1:9" x14ac:dyDescent="0.3">
      <c r="A50" s="300" t="s">
        <v>238</v>
      </c>
      <c r="B50" s="311"/>
      <c r="C50" s="305"/>
      <c r="D50" s="304"/>
      <c r="E50" s="304"/>
      <c r="F50" s="315"/>
      <c r="G50" s="311"/>
      <c r="H50" s="305"/>
      <c r="I50" s="304"/>
    </row>
    <row r="51" spans="1:9" x14ac:dyDescent="0.3">
      <c r="A51" s="300" t="s">
        <v>239</v>
      </c>
      <c r="B51" s="311"/>
      <c r="C51" s="305"/>
      <c r="D51" s="304"/>
      <c r="E51" s="304"/>
      <c r="F51" s="315"/>
      <c r="G51" s="311"/>
      <c r="H51" s="305"/>
      <c r="I51" s="304"/>
    </row>
    <row r="52" spans="1:9" x14ac:dyDescent="0.3">
      <c r="A52" s="300" t="s">
        <v>240</v>
      </c>
      <c r="B52" s="311"/>
      <c r="C52" s="305"/>
      <c r="D52" s="304"/>
      <c r="E52" s="304"/>
      <c r="F52" s="315"/>
      <c r="G52" s="311"/>
      <c r="H52" s="305"/>
      <c r="I52" s="304"/>
    </row>
    <row r="53" spans="1:9" x14ac:dyDescent="0.3">
      <c r="A53" s="300" t="s">
        <v>241</v>
      </c>
      <c r="B53" s="311"/>
      <c r="C53" s="305"/>
      <c r="D53" s="304"/>
      <c r="E53" s="304"/>
      <c r="F53" s="315"/>
      <c r="G53" s="311"/>
      <c r="H53" s="305"/>
      <c r="I53" s="304"/>
    </row>
    <row r="54" spans="1:9" x14ac:dyDescent="0.3">
      <c r="A54" s="300" t="s">
        <v>242</v>
      </c>
      <c r="B54" s="311"/>
      <c r="C54" s="305"/>
      <c r="D54" s="304"/>
      <c r="E54" s="304"/>
      <c r="F54" s="315"/>
      <c r="G54" s="311"/>
      <c r="H54" s="305"/>
      <c r="I54" s="304"/>
    </row>
    <row r="55" spans="1:9" x14ac:dyDescent="0.3">
      <c r="A55" s="300" t="s">
        <v>243</v>
      </c>
      <c r="B55" s="311"/>
      <c r="C55" s="305"/>
      <c r="D55" s="304"/>
      <c r="E55" s="304"/>
      <c r="F55" s="315"/>
      <c r="G55" s="311"/>
      <c r="H55" s="305"/>
      <c r="I55" s="304"/>
    </row>
    <row r="56" spans="1:9" x14ac:dyDescent="0.3">
      <c r="A56" s="300" t="s">
        <v>244</v>
      </c>
      <c r="B56" s="311"/>
      <c r="C56" s="305"/>
      <c r="D56" s="304"/>
      <c r="E56" s="304"/>
      <c r="F56" s="315"/>
      <c r="G56" s="311"/>
      <c r="H56" s="305"/>
      <c r="I56" s="304"/>
    </row>
    <row r="57" spans="1:9" x14ac:dyDescent="0.3">
      <c r="A57" s="300" t="s">
        <v>245</v>
      </c>
      <c r="B57" s="311"/>
      <c r="C57" s="305"/>
      <c r="D57" s="304"/>
      <c r="E57" s="304"/>
      <c r="F57" s="315"/>
      <c r="G57" s="311"/>
      <c r="H57" s="305"/>
      <c r="I57" s="304"/>
    </row>
    <row r="58" spans="1:9" x14ac:dyDescent="0.3">
      <c r="A58" s="300" t="s">
        <v>246</v>
      </c>
      <c r="B58" s="311"/>
      <c r="C58" s="305"/>
      <c r="D58" s="304"/>
      <c r="E58" s="304"/>
      <c r="F58" s="315"/>
      <c r="G58" s="311"/>
      <c r="H58" s="305"/>
      <c r="I58" s="304"/>
    </row>
    <row r="59" spans="1:9" x14ac:dyDescent="0.3">
      <c r="A59" s="300" t="s">
        <v>247</v>
      </c>
      <c r="B59" s="311"/>
      <c r="C59" s="305"/>
      <c r="D59" s="304"/>
      <c r="E59" s="304"/>
      <c r="F59" s="315"/>
      <c r="G59" s="311"/>
      <c r="H59" s="305"/>
      <c r="I59" s="304"/>
    </row>
    <row r="60" spans="1:9" x14ac:dyDescent="0.3">
      <c r="A60" s="300" t="s">
        <v>248</v>
      </c>
      <c r="B60" s="311"/>
      <c r="C60" s="305"/>
      <c r="D60" s="304"/>
      <c r="E60" s="304"/>
      <c r="F60" s="315"/>
      <c r="G60" s="311"/>
      <c r="H60" s="305"/>
      <c r="I60" s="304"/>
    </row>
    <row r="61" spans="1:9" x14ac:dyDescent="0.3">
      <c r="A61" s="300" t="s">
        <v>249</v>
      </c>
      <c r="B61" s="311"/>
      <c r="C61" s="305"/>
      <c r="D61" s="304"/>
      <c r="E61" s="304"/>
      <c r="F61" s="315"/>
      <c r="G61" s="311"/>
      <c r="H61" s="305"/>
      <c r="I61" s="304"/>
    </row>
    <row r="62" spans="1:9" x14ac:dyDescent="0.3">
      <c r="A62" s="300" t="s">
        <v>250</v>
      </c>
      <c r="B62" s="311"/>
      <c r="C62" s="305"/>
      <c r="D62" s="304"/>
      <c r="E62" s="304"/>
      <c r="F62" s="315"/>
      <c r="G62" s="311"/>
      <c r="H62" s="305"/>
      <c r="I62" s="304"/>
    </row>
    <row r="63" spans="1:9" x14ac:dyDescent="0.3">
      <c r="A63" s="300" t="s">
        <v>251</v>
      </c>
      <c r="B63" s="311"/>
      <c r="C63" s="305"/>
      <c r="D63" s="304"/>
      <c r="E63" s="304"/>
      <c r="F63" s="315"/>
      <c r="G63" s="311"/>
      <c r="H63" s="305"/>
      <c r="I63" s="304"/>
    </row>
    <row r="64" spans="1:9" x14ac:dyDescent="0.3">
      <c r="A64" s="300" t="s">
        <v>252</v>
      </c>
      <c r="B64" s="311"/>
      <c r="C64" s="305"/>
      <c r="D64" s="304"/>
      <c r="E64" s="304"/>
      <c r="F64" s="315"/>
      <c r="G64" s="311"/>
      <c r="H64" s="305"/>
      <c r="I64" s="304"/>
    </row>
    <row r="65" spans="1:9" x14ac:dyDescent="0.3">
      <c r="A65" s="300" t="s">
        <v>253</v>
      </c>
      <c r="B65" s="311"/>
      <c r="C65" s="305"/>
      <c r="D65" s="304"/>
      <c r="E65" s="304"/>
      <c r="F65" s="315"/>
      <c r="G65" s="311"/>
      <c r="H65" s="305"/>
      <c r="I65" s="304"/>
    </row>
    <row r="66" spans="1:9" x14ac:dyDescent="0.3">
      <c r="A66" s="300" t="s">
        <v>254</v>
      </c>
      <c r="B66" s="311"/>
      <c r="C66" s="305"/>
      <c r="D66" s="304"/>
      <c r="E66" s="304"/>
      <c r="F66" s="315"/>
      <c r="G66" s="311"/>
      <c r="H66" s="305"/>
      <c r="I66" s="304"/>
    </row>
    <row r="67" spans="1:9" x14ac:dyDescent="0.3">
      <c r="A67" s="300" t="s">
        <v>255</v>
      </c>
      <c r="B67" s="311"/>
      <c r="C67" s="305"/>
      <c r="D67" s="304"/>
      <c r="E67" s="304"/>
      <c r="F67" s="315"/>
      <c r="G67" s="311"/>
      <c r="H67" s="305"/>
      <c r="I67" s="304"/>
    </row>
    <row r="68" spans="1:9" x14ac:dyDescent="0.3">
      <c r="A68" s="300" t="s">
        <v>256</v>
      </c>
      <c r="B68" s="311"/>
      <c r="C68" s="305"/>
      <c r="D68" s="304"/>
      <c r="E68" s="304"/>
      <c r="F68" s="315"/>
      <c r="G68" s="311"/>
      <c r="H68" s="305"/>
      <c r="I68" s="304"/>
    </row>
    <row r="69" spans="1:9" x14ac:dyDescent="0.3">
      <c r="A69" s="300" t="s">
        <v>257</v>
      </c>
      <c r="B69" s="311"/>
      <c r="C69" s="305"/>
      <c r="D69" s="304"/>
      <c r="E69" s="304"/>
      <c r="F69" s="315"/>
      <c r="G69" s="311"/>
      <c r="H69" s="305"/>
      <c r="I69" s="304"/>
    </row>
    <row r="70" spans="1:9" ht="15" thickBot="1" x14ac:dyDescent="0.35">
      <c r="A70" s="301" t="s">
        <v>258</v>
      </c>
      <c r="B70" s="312"/>
      <c r="C70" s="302"/>
      <c r="D70" s="255"/>
      <c r="E70" s="255"/>
      <c r="F70" s="316"/>
      <c r="G70" s="312"/>
      <c r="H70" s="302"/>
      <c r="I70" s="255"/>
    </row>
  </sheetData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view="pageBreakPreview" zoomScale="80" zoomScaleNormal="80" zoomScaleSheetLayoutView="80" workbookViewId="0">
      <selection activeCell="S53" sqref="S53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827" t="str">
        <f>'Parametre - Agendové IS'!G1</f>
        <v>N/A</v>
      </c>
      <c r="B2" s="828"/>
      <c r="C2" s="829"/>
      <c r="D2" s="833" t="s">
        <v>107</v>
      </c>
      <c r="E2" s="834"/>
      <c r="F2" s="347" t="s">
        <v>157</v>
      </c>
      <c r="G2" s="347" t="s">
        <v>158</v>
      </c>
      <c r="H2" s="347" t="s">
        <v>159</v>
      </c>
      <c r="I2" s="347" t="s">
        <v>161</v>
      </c>
    </row>
    <row r="3" spans="1:9" ht="15" thickBot="1" x14ac:dyDescent="0.35">
      <c r="A3" s="830"/>
      <c r="B3" s="831"/>
      <c r="C3" s="832"/>
      <c r="D3" s="550" t="s">
        <v>346</v>
      </c>
      <c r="E3" s="551" t="s">
        <v>160</v>
      </c>
      <c r="F3" s="188" t="s">
        <v>160</v>
      </c>
      <c r="G3" s="188" t="s">
        <v>160</v>
      </c>
      <c r="H3" s="188" t="s">
        <v>160</v>
      </c>
      <c r="I3" s="188" t="s">
        <v>160</v>
      </c>
    </row>
    <row r="4" spans="1:9" ht="15" customHeight="1" x14ac:dyDescent="0.3">
      <c r="A4" s="821" t="s">
        <v>43</v>
      </c>
      <c r="B4" s="824" t="s">
        <v>178</v>
      </c>
      <c r="C4" s="189" t="s">
        <v>25</v>
      </c>
      <c r="D4" s="552" t="str">
        <f>IF(E4='Parametre - Agendové IS'!H87,"OK","Chyba počtu FTE")</f>
        <v>OK</v>
      </c>
      <c r="E4" s="553">
        <f t="shared" ref="E4:E33" si="0">F4+G4+H4+I4</f>
        <v>0</v>
      </c>
      <c r="F4" s="254"/>
      <c r="G4" s="254"/>
      <c r="H4" s="254"/>
      <c r="I4" s="254"/>
    </row>
    <row r="5" spans="1:9" x14ac:dyDescent="0.3">
      <c r="A5" s="822"/>
      <c r="B5" s="825"/>
      <c r="C5" s="186" t="s">
        <v>26</v>
      </c>
      <c r="D5" s="554" t="str">
        <f>IF(E5='Parametre - Agendové IS'!H88,"OK","Chyba počtu FTE")</f>
        <v>OK</v>
      </c>
      <c r="E5" s="555">
        <f t="shared" si="0"/>
        <v>0</v>
      </c>
      <c r="F5" s="255"/>
      <c r="G5" s="255"/>
      <c r="H5" s="255"/>
      <c r="I5" s="255"/>
    </row>
    <row r="6" spans="1:9" x14ac:dyDescent="0.3">
      <c r="A6" s="822"/>
      <c r="B6" s="825"/>
      <c r="C6" s="186" t="s">
        <v>27</v>
      </c>
      <c r="D6" s="554" t="str">
        <f>IF(E6='Parametre - Agendové IS'!H89,"OK","Chyba počtu FTE")</f>
        <v>OK</v>
      </c>
      <c r="E6" s="555">
        <f t="shared" si="0"/>
        <v>0</v>
      </c>
      <c r="F6" s="255"/>
      <c r="G6" s="255"/>
      <c r="H6" s="255"/>
      <c r="I6" s="255"/>
    </row>
    <row r="7" spans="1:9" x14ac:dyDescent="0.3">
      <c r="A7" s="822"/>
      <c r="B7" s="825"/>
      <c r="C7" s="186" t="s">
        <v>28</v>
      </c>
      <c r="D7" s="554" t="str">
        <f>IF(E7='Parametre - Agendové IS'!H90,"OK","Chyba počtu FTE")</f>
        <v>OK</v>
      </c>
      <c r="E7" s="555">
        <f t="shared" si="0"/>
        <v>0</v>
      </c>
      <c r="F7" s="255"/>
      <c r="G7" s="255"/>
      <c r="H7" s="255"/>
      <c r="I7" s="255"/>
    </row>
    <row r="8" spans="1:9" x14ac:dyDescent="0.3">
      <c r="A8" s="822"/>
      <c r="B8" s="825"/>
      <c r="C8" s="186" t="s">
        <v>29</v>
      </c>
      <c r="D8" s="554" t="str">
        <f>IF(E8='Parametre - Agendové IS'!H91,"OK","Chyba počtu FTE")</f>
        <v>OK</v>
      </c>
      <c r="E8" s="555">
        <f t="shared" si="0"/>
        <v>0</v>
      </c>
      <c r="F8" s="255"/>
      <c r="G8" s="255"/>
      <c r="H8" s="255"/>
      <c r="I8" s="255"/>
    </row>
    <row r="9" spans="1:9" x14ac:dyDescent="0.3">
      <c r="A9" s="822"/>
      <c r="B9" s="825"/>
      <c r="C9" s="186" t="s">
        <v>30</v>
      </c>
      <c r="D9" s="554" t="str">
        <f>IF(E9='Parametre - Agendové IS'!H92,"OK","Chyba počtu FTE")</f>
        <v>OK</v>
      </c>
      <c r="E9" s="555">
        <f t="shared" si="0"/>
        <v>0</v>
      </c>
      <c r="F9" s="255"/>
      <c r="G9" s="255"/>
      <c r="H9" s="255"/>
      <c r="I9" s="255"/>
    </row>
    <row r="10" spans="1:9" x14ac:dyDescent="0.3">
      <c r="A10" s="822"/>
      <c r="B10" s="825"/>
      <c r="C10" s="186" t="s">
        <v>31</v>
      </c>
      <c r="D10" s="554" t="str">
        <f>IF(E10='Parametre - Agendové IS'!H93,"OK","Chyba počtu FTE")</f>
        <v>OK</v>
      </c>
      <c r="E10" s="555">
        <f t="shared" si="0"/>
        <v>0</v>
      </c>
      <c r="F10" s="255"/>
      <c r="G10" s="255"/>
      <c r="H10" s="255"/>
      <c r="I10" s="255"/>
    </row>
    <row r="11" spans="1:9" x14ac:dyDescent="0.3">
      <c r="A11" s="822"/>
      <c r="B11" s="825"/>
      <c r="C11" s="186" t="s">
        <v>32</v>
      </c>
      <c r="D11" s="554" t="str">
        <f>IF(E11='Parametre - Agendové IS'!H94,"OK","Chyba počtu FTE")</f>
        <v>OK</v>
      </c>
      <c r="E11" s="555">
        <f t="shared" si="0"/>
        <v>0</v>
      </c>
      <c r="F11" s="255"/>
      <c r="G11" s="255"/>
      <c r="H11" s="255"/>
      <c r="I11" s="255"/>
    </row>
    <row r="12" spans="1:9" x14ac:dyDescent="0.3">
      <c r="A12" s="822"/>
      <c r="B12" s="825"/>
      <c r="C12" s="186" t="s">
        <v>33</v>
      </c>
      <c r="D12" s="554" t="str">
        <f>IF(E12='Parametre - Agendové IS'!H95,"OK","Chyba počtu FTE")</f>
        <v>OK</v>
      </c>
      <c r="E12" s="555">
        <f t="shared" si="0"/>
        <v>0</v>
      </c>
      <c r="F12" s="255"/>
      <c r="G12" s="255"/>
      <c r="H12" s="255"/>
      <c r="I12" s="255"/>
    </row>
    <row r="13" spans="1:9" ht="15" thickBot="1" x14ac:dyDescent="0.35">
      <c r="A13" s="822"/>
      <c r="B13" s="825"/>
      <c r="C13" s="186" t="s">
        <v>34</v>
      </c>
      <c r="D13" s="556" t="str">
        <f>IF(E13='Parametre - Agendové IS'!H96,"OK","Chyba počtu FTE")</f>
        <v>OK</v>
      </c>
      <c r="E13" s="557">
        <f t="shared" si="0"/>
        <v>0</v>
      </c>
      <c r="F13" s="256"/>
      <c r="G13" s="256"/>
      <c r="H13" s="256"/>
      <c r="I13" s="256"/>
    </row>
    <row r="14" spans="1:9" ht="15" customHeight="1" x14ac:dyDescent="0.3">
      <c r="A14" s="821" t="s">
        <v>41</v>
      </c>
      <c r="B14" s="824" t="s">
        <v>37</v>
      </c>
      <c r="C14" s="189" t="s">
        <v>25</v>
      </c>
      <c r="D14" s="553" t="str">
        <f>IF(E14='Parametre - Agendové IS'!H6,"OK","Chyba počtu podaní")</f>
        <v>OK</v>
      </c>
      <c r="E14" s="558">
        <f t="shared" si="0"/>
        <v>0</v>
      </c>
      <c r="F14" s="254"/>
      <c r="G14" s="254"/>
      <c r="H14" s="254"/>
      <c r="I14" s="254"/>
    </row>
    <row r="15" spans="1:9" x14ac:dyDescent="0.3">
      <c r="A15" s="822"/>
      <c r="B15" s="825"/>
      <c r="C15" s="186" t="s">
        <v>26</v>
      </c>
      <c r="D15" s="554" t="str">
        <f>IF(E15='Parametre - Agendové IS'!H7,"OK","Chyba počtu podaní")</f>
        <v>OK</v>
      </c>
      <c r="E15" s="555">
        <f t="shared" si="0"/>
        <v>0</v>
      </c>
      <c r="F15" s="255"/>
      <c r="G15" s="255"/>
      <c r="H15" s="255"/>
      <c r="I15" s="255"/>
    </row>
    <row r="16" spans="1:9" x14ac:dyDescent="0.3">
      <c r="A16" s="822"/>
      <c r="B16" s="825"/>
      <c r="C16" s="186" t="s">
        <v>27</v>
      </c>
      <c r="D16" s="554" t="str">
        <f>IF(E16='Parametre - Agendové IS'!H8,"OK","Chyba počtu podaní")</f>
        <v>OK</v>
      </c>
      <c r="E16" s="555">
        <f t="shared" si="0"/>
        <v>0</v>
      </c>
      <c r="F16" s="255"/>
      <c r="G16" s="255"/>
      <c r="H16" s="255"/>
      <c r="I16" s="255"/>
    </row>
    <row r="17" spans="1:9" x14ac:dyDescent="0.3">
      <c r="A17" s="822"/>
      <c r="B17" s="825"/>
      <c r="C17" s="186" t="s">
        <v>28</v>
      </c>
      <c r="D17" s="554" t="str">
        <f>IF(E17='Parametre - Agendové IS'!H9,"OK","Chyba počtu podaní")</f>
        <v>OK</v>
      </c>
      <c r="E17" s="555">
        <f t="shared" si="0"/>
        <v>0</v>
      </c>
      <c r="F17" s="255"/>
      <c r="G17" s="255"/>
      <c r="H17" s="255"/>
      <c r="I17" s="255"/>
    </row>
    <row r="18" spans="1:9" x14ac:dyDescent="0.3">
      <c r="A18" s="822"/>
      <c r="B18" s="825"/>
      <c r="C18" s="186" t="s">
        <v>29</v>
      </c>
      <c r="D18" s="554" t="str">
        <f>IF(E18='Parametre - Agendové IS'!H10,"OK","Chyba počtu podaní")</f>
        <v>OK</v>
      </c>
      <c r="E18" s="555">
        <f t="shared" si="0"/>
        <v>0</v>
      </c>
      <c r="F18" s="255"/>
      <c r="G18" s="255"/>
      <c r="H18" s="255"/>
      <c r="I18" s="255"/>
    </row>
    <row r="19" spans="1:9" x14ac:dyDescent="0.3">
      <c r="A19" s="822"/>
      <c r="B19" s="825"/>
      <c r="C19" s="186" t="s">
        <v>30</v>
      </c>
      <c r="D19" s="554" t="str">
        <f>IF(E19='Parametre - Agendové IS'!H11,"OK","Chyba počtu podaní")</f>
        <v>OK</v>
      </c>
      <c r="E19" s="555">
        <f t="shared" si="0"/>
        <v>0</v>
      </c>
      <c r="F19" s="255"/>
      <c r="G19" s="255"/>
      <c r="H19" s="255"/>
      <c r="I19" s="255"/>
    </row>
    <row r="20" spans="1:9" x14ac:dyDescent="0.3">
      <c r="A20" s="822"/>
      <c r="B20" s="825"/>
      <c r="C20" s="186" t="s">
        <v>31</v>
      </c>
      <c r="D20" s="554" t="str">
        <f>IF(E20='Parametre - Agendové IS'!H12,"OK","Chyba počtu podaní")</f>
        <v>OK</v>
      </c>
      <c r="E20" s="555">
        <f t="shared" si="0"/>
        <v>0</v>
      </c>
      <c r="F20" s="255"/>
      <c r="G20" s="255"/>
      <c r="H20" s="255"/>
      <c r="I20" s="255"/>
    </row>
    <row r="21" spans="1:9" x14ac:dyDescent="0.3">
      <c r="A21" s="822"/>
      <c r="B21" s="825"/>
      <c r="C21" s="186" t="s">
        <v>32</v>
      </c>
      <c r="D21" s="554" t="str">
        <f>IF(E21='Parametre - Agendové IS'!H13,"OK","Chyba počtu podaní")</f>
        <v>OK</v>
      </c>
      <c r="E21" s="555">
        <f t="shared" si="0"/>
        <v>0</v>
      </c>
      <c r="F21" s="255"/>
      <c r="G21" s="255"/>
      <c r="H21" s="255"/>
      <c r="I21" s="255"/>
    </row>
    <row r="22" spans="1:9" x14ac:dyDescent="0.3">
      <c r="A22" s="822"/>
      <c r="B22" s="825"/>
      <c r="C22" s="186" t="s">
        <v>33</v>
      </c>
      <c r="D22" s="554" t="str">
        <f>IF(E22='Parametre - Agendové IS'!H14,"OK","Chyba počtu podaní")</f>
        <v>OK</v>
      </c>
      <c r="E22" s="555">
        <f t="shared" si="0"/>
        <v>0</v>
      </c>
      <c r="F22" s="255"/>
      <c r="G22" s="255"/>
      <c r="H22" s="255"/>
      <c r="I22" s="255"/>
    </row>
    <row r="23" spans="1:9" ht="15" thickBot="1" x14ac:dyDescent="0.35">
      <c r="A23" s="823"/>
      <c r="B23" s="826"/>
      <c r="C23" s="187" t="s">
        <v>34</v>
      </c>
      <c r="D23" s="554" t="str">
        <f>IF(E23='Parametre - Agendové IS'!H15,"OK","Chyba počtu podaní")</f>
        <v>OK</v>
      </c>
      <c r="E23" s="555">
        <f t="shared" si="0"/>
        <v>0</v>
      </c>
      <c r="F23" s="255"/>
      <c r="G23" s="255"/>
      <c r="H23" s="255"/>
      <c r="I23" s="255"/>
    </row>
    <row r="24" spans="1:9" x14ac:dyDescent="0.3">
      <c r="A24" s="821" t="s">
        <v>39</v>
      </c>
      <c r="B24" s="824" t="s">
        <v>13</v>
      </c>
      <c r="C24" s="189" t="s">
        <v>25</v>
      </c>
      <c r="D24" s="553" t="str">
        <f>IF(E24='Parametre - Agendové IS'!H127,"OK","Chyba")</f>
        <v>OK</v>
      </c>
      <c r="E24" s="558">
        <f t="shared" si="0"/>
        <v>0</v>
      </c>
      <c r="F24" s="254"/>
      <c r="G24" s="254"/>
      <c r="H24" s="254"/>
      <c r="I24" s="254"/>
    </row>
    <row r="25" spans="1:9" x14ac:dyDescent="0.3">
      <c r="A25" s="822"/>
      <c r="B25" s="825"/>
      <c r="C25" s="186" t="s">
        <v>26</v>
      </c>
      <c r="D25" s="554" t="str">
        <f>IF(E25='Parametre - Agendové IS'!H128,"OK","Chyba")</f>
        <v>OK</v>
      </c>
      <c r="E25" s="555">
        <f t="shared" si="0"/>
        <v>0</v>
      </c>
      <c r="F25" s="255"/>
      <c r="G25" s="255"/>
      <c r="H25" s="255"/>
      <c r="I25" s="255"/>
    </row>
    <row r="26" spans="1:9" x14ac:dyDescent="0.3">
      <c r="A26" s="822"/>
      <c r="B26" s="825"/>
      <c r="C26" s="186" t="s">
        <v>27</v>
      </c>
      <c r="D26" s="554" t="str">
        <f>IF(E26='Parametre - Agendové IS'!H129,"OK","Chyba")</f>
        <v>OK</v>
      </c>
      <c r="E26" s="555">
        <f t="shared" si="0"/>
        <v>0</v>
      </c>
      <c r="F26" s="255"/>
      <c r="G26" s="255"/>
      <c r="H26" s="255"/>
      <c r="I26" s="255"/>
    </row>
    <row r="27" spans="1:9" x14ac:dyDescent="0.3">
      <c r="A27" s="822"/>
      <c r="B27" s="825"/>
      <c r="C27" s="186" t="s">
        <v>28</v>
      </c>
      <c r="D27" s="554" t="str">
        <f>IF(E27='Parametre - Agendové IS'!H130,"OK","Chyba")</f>
        <v>OK</v>
      </c>
      <c r="E27" s="555">
        <f t="shared" si="0"/>
        <v>0</v>
      </c>
      <c r="F27" s="255"/>
      <c r="G27" s="255"/>
      <c r="H27" s="255"/>
      <c r="I27" s="255"/>
    </row>
    <row r="28" spans="1:9" x14ac:dyDescent="0.3">
      <c r="A28" s="822"/>
      <c r="B28" s="825"/>
      <c r="C28" s="186" t="s">
        <v>29</v>
      </c>
      <c r="D28" s="554" t="str">
        <f>IF(E28='Parametre - Agendové IS'!H131,"OK","Chyba")</f>
        <v>OK</v>
      </c>
      <c r="E28" s="555">
        <f t="shared" si="0"/>
        <v>0</v>
      </c>
      <c r="F28" s="255"/>
      <c r="G28" s="255"/>
      <c r="H28" s="255"/>
      <c r="I28" s="255"/>
    </row>
    <row r="29" spans="1:9" x14ac:dyDescent="0.3">
      <c r="A29" s="822"/>
      <c r="B29" s="825"/>
      <c r="C29" s="186" t="s">
        <v>30</v>
      </c>
      <c r="D29" s="554" t="str">
        <f>IF(E29='Parametre - Agendové IS'!H132,"OK","Chyba")</f>
        <v>OK</v>
      </c>
      <c r="E29" s="555">
        <f t="shared" si="0"/>
        <v>0</v>
      </c>
      <c r="F29" s="255"/>
      <c r="G29" s="255"/>
      <c r="H29" s="255"/>
      <c r="I29" s="255"/>
    </row>
    <row r="30" spans="1:9" x14ac:dyDescent="0.3">
      <c r="A30" s="822"/>
      <c r="B30" s="825"/>
      <c r="C30" s="186" t="s">
        <v>31</v>
      </c>
      <c r="D30" s="554" t="str">
        <f>IF(E30='Parametre - Agendové IS'!H133,"OK","Chyba")</f>
        <v>OK</v>
      </c>
      <c r="E30" s="555">
        <f t="shared" si="0"/>
        <v>0</v>
      </c>
      <c r="F30" s="255"/>
      <c r="G30" s="255"/>
      <c r="H30" s="255"/>
      <c r="I30" s="255"/>
    </row>
    <row r="31" spans="1:9" x14ac:dyDescent="0.3">
      <c r="A31" s="822"/>
      <c r="B31" s="825"/>
      <c r="C31" s="186" t="s">
        <v>32</v>
      </c>
      <c r="D31" s="554" t="str">
        <f>IF(E31='Parametre - Agendové IS'!H134,"OK","Chyba")</f>
        <v>OK</v>
      </c>
      <c r="E31" s="555">
        <f t="shared" si="0"/>
        <v>0</v>
      </c>
      <c r="F31" s="255"/>
      <c r="G31" s="255"/>
      <c r="H31" s="255"/>
      <c r="I31" s="255"/>
    </row>
    <row r="32" spans="1:9" x14ac:dyDescent="0.3">
      <c r="A32" s="822"/>
      <c r="B32" s="825"/>
      <c r="C32" s="186" t="s">
        <v>33</v>
      </c>
      <c r="D32" s="554" t="str">
        <f>IF(E32='Parametre - Agendové IS'!H135,"OK","Chyba")</f>
        <v>OK</v>
      </c>
      <c r="E32" s="555">
        <f t="shared" si="0"/>
        <v>0</v>
      </c>
      <c r="F32" s="255"/>
      <c r="G32" s="255"/>
      <c r="H32" s="255"/>
      <c r="I32" s="255"/>
    </row>
    <row r="33" spans="1:9" ht="15" thickBot="1" x14ac:dyDescent="0.35">
      <c r="A33" s="823"/>
      <c r="B33" s="826"/>
      <c r="C33" s="187" t="s">
        <v>34</v>
      </c>
      <c r="D33" s="554" t="str">
        <f>IF(E33='Parametre - Agendové IS'!H136,"OK","Chyba")</f>
        <v>OK</v>
      </c>
      <c r="E33" s="555">
        <f t="shared" si="0"/>
        <v>0</v>
      </c>
      <c r="F33" s="255"/>
      <c r="G33" s="255"/>
      <c r="H33" s="255"/>
      <c r="I33" s="255"/>
    </row>
    <row r="34" spans="1:9" x14ac:dyDescent="0.3">
      <c r="A34" s="183"/>
      <c r="B34" s="184"/>
      <c r="E34" s="185"/>
    </row>
    <row r="35" spans="1:9" x14ac:dyDescent="0.3">
      <c r="A35" s="183"/>
      <c r="B35" s="184"/>
      <c r="E35" s="185"/>
    </row>
    <row r="36" spans="1:9" ht="15" thickBot="1" x14ac:dyDescent="0.35">
      <c r="A36" s="183"/>
      <c r="B36" s="184"/>
      <c r="E36" s="185"/>
    </row>
    <row r="37" spans="1:9" x14ac:dyDescent="0.3">
      <c r="A37" s="827" t="str">
        <f>'Parametre - Agendové IS'!J1</f>
        <v>N/A</v>
      </c>
      <c r="B37" s="828"/>
      <c r="C37" s="829"/>
      <c r="D37" s="833" t="s">
        <v>107</v>
      </c>
      <c r="E37" s="834"/>
      <c r="F37" s="347" t="s">
        <v>157</v>
      </c>
      <c r="G37" s="347" t="s">
        <v>158</v>
      </c>
      <c r="H37" s="347" t="s">
        <v>159</v>
      </c>
      <c r="I37" s="347" t="s">
        <v>161</v>
      </c>
    </row>
    <row r="38" spans="1:9" ht="15" thickBot="1" x14ac:dyDescent="0.35">
      <c r="A38" s="830"/>
      <c r="B38" s="831"/>
      <c r="C38" s="832"/>
      <c r="D38" s="550" t="s">
        <v>346</v>
      </c>
      <c r="E38" s="551" t="s">
        <v>160</v>
      </c>
      <c r="F38" s="188" t="s">
        <v>160</v>
      </c>
      <c r="G38" s="188" t="s">
        <v>160</v>
      </c>
      <c r="H38" s="188" t="s">
        <v>160</v>
      </c>
      <c r="I38" s="188" t="s">
        <v>160</v>
      </c>
    </row>
    <row r="39" spans="1:9" x14ac:dyDescent="0.3">
      <c r="A39" s="821" t="s">
        <v>43</v>
      </c>
      <c r="B39" s="824" t="s">
        <v>178</v>
      </c>
      <c r="C39" s="189" t="s">
        <v>25</v>
      </c>
      <c r="D39" s="552" t="str">
        <f>IF(E39='Parametre - Agendové IS'!K87,"OK","Chyba počtu FTE")</f>
        <v>OK</v>
      </c>
      <c r="E39" s="553">
        <f t="shared" ref="E39:E68" si="1">F39+G39+H39+I39</f>
        <v>0</v>
      </c>
      <c r="F39" s="254"/>
      <c r="G39" s="254"/>
      <c r="H39" s="254"/>
      <c r="I39" s="254"/>
    </row>
    <row r="40" spans="1:9" x14ac:dyDescent="0.3">
      <c r="A40" s="822"/>
      <c r="B40" s="825"/>
      <c r="C40" s="186" t="s">
        <v>26</v>
      </c>
      <c r="D40" s="554" t="str">
        <f>IF(E40='Parametre - Agendové IS'!K88,"OK","Chyba počtu FTE")</f>
        <v>OK</v>
      </c>
      <c r="E40" s="555">
        <f t="shared" si="1"/>
        <v>0</v>
      </c>
      <c r="F40" s="255"/>
      <c r="G40" s="255"/>
      <c r="H40" s="255"/>
      <c r="I40" s="255"/>
    </row>
    <row r="41" spans="1:9" x14ac:dyDescent="0.3">
      <c r="A41" s="822"/>
      <c r="B41" s="825"/>
      <c r="C41" s="186" t="s">
        <v>27</v>
      </c>
      <c r="D41" s="554" t="str">
        <f>IF(E41='Parametre - Agendové IS'!K89,"OK","Chyba počtu FTE")</f>
        <v>OK</v>
      </c>
      <c r="E41" s="555">
        <f t="shared" si="1"/>
        <v>0</v>
      </c>
      <c r="F41" s="255"/>
      <c r="G41" s="255"/>
      <c r="H41" s="255"/>
      <c r="I41" s="255"/>
    </row>
    <row r="42" spans="1:9" x14ac:dyDescent="0.3">
      <c r="A42" s="822"/>
      <c r="B42" s="825"/>
      <c r="C42" s="186" t="s">
        <v>28</v>
      </c>
      <c r="D42" s="554" t="str">
        <f>IF(E42='Parametre - Agendové IS'!K90,"OK","Chyba počtu FTE")</f>
        <v>OK</v>
      </c>
      <c r="E42" s="555">
        <f t="shared" si="1"/>
        <v>0</v>
      </c>
      <c r="F42" s="255"/>
      <c r="G42" s="255"/>
      <c r="H42" s="255"/>
      <c r="I42" s="255"/>
    </row>
    <row r="43" spans="1:9" x14ac:dyDescent="0.3">
      <c r="A43" s="822"/>
      <c r="B43" s="825"/>
      <c r="C43" s="186" t="s">
        <v>29</v>
      </c>
      <c r="D43" s="554" t="str">
        <f>IF(E43='Parametre - Agendové IS'!K91,"OK","Chyba počtu FTE")</f>
        <v>OK</v>
      </c>
      <c r="E43" s="555">
        <f t="shared" si="1"/>
        <v>0</v>
      </c>
      <c r="F43" s="255"/>
      <c r="G43" s="255"/>
      <c r="H43" s="255"/>
      <c r="I43" s="255"/>
    </row>
    <row r="44" spans="1:9" ht="15" customHeight="1" x14ac:dyDescent="0.3">
      <c r="A44" s="822"/>
      <c r="B44" s="825"/>
      <c r="C44" s="186" t="s">
        <v>30</v>
      </c>
      <c r="D44" s="554" t="str">
        <f>IF(E44='Parametre - Agendové IS'!K92,"OK","Chyba počtu FTE")</f>
        <v>OK</v>
      </c>
      <c r="E44" s="555">
        <f t="shared" si="1"/>
        <v>0</v>
      </c>
      <c r="F44" s="255"/>
      <c r="G44" s="255"/>
      <c r="H44" s="255"/>
      <c r="I44" s="255"/>
    </row>
    <row r="45" spans="1:9" x14ac:dyDescent="0.3">
      <c r="A45" s="822"/>
      <c r="B45" s="825"/>
      <c r="C45" s="186" t="s">
        <v>31</v>
      </c>
      <c r="D45" s="554" t="str">
        <f>IF(E45='Parametre - Agendové IS'!K93,"OK","Chyba počtu FTE")</f>
        <v>OK</v>
      </c>
      <c r="E45" s="555">
        <f t="shared" si="1"/>
        <v>0</v>
      </c>
      <c r="F45" s="255"/>
      <c r="G45" s="255"/>
      <c r="H45" s="255"/>
      <c r="I45" s="255"/>
    </row>
    <row r="46" spans="1:9" x14ac:dyDescent="0.3">
      <c r="A46" s="822"/>
      <c r="B46" s="825"/>
      <c r="C46" s="186" t="s">
        <v>32</v>
      </c>
      <c r="D46" s="554" t="str">
        <f>IF(E46='Parametre - Agendové IS'!K94,"OK","Chyba počtu FTE")</f>
        <v>OK</v>
      </c>
      <c r="E46" s="555">
        <f t="shared" si="1"/>
        <v>0</v>
      </c>
      <c r="F46" s="255"/>
      <c r="G46" s="255"/>
      <c r="H46" s="255"/>
      <c r="I46" s="255"/>
    </row>
    <row r="47" spans="1:9" x14ac:dyDescent="0.3">
      <c r="A47" s="822"/>
      <c r="B47" s="825"/>
      <c r="C47" s="186" t="s">
        <v>33</v>
      </c>
      <c r="D47" s="554" t="str">
        <f>IF(E47='Parametre - Agendové IS'!K95,"OK","Chyba počtu FTE")</f>
        <v>OK</v>
      </c>
      <c r="E47" s="555">
        <f t="shared" si="1"/>
        <v>0</v>
      </c>
      <c r="F47" s="255"/>
      <c r="G47" s="255"/>
      <c r="H47" s="255"/>
      <c r="I47" s="255"/>
    </row>
    <row r="48" spans="1:9" ht="15" thickBot="1" x14ac:dyDescent="0.35">
      <c r="A48" s="822"/>
      <c r="B48" s="825"/>
      <c r="C48" s="186" t="s">
        <v>34</v>
      </c>
      <c r="D48" s="556" t="str">
        <f>IF(E48='Parametre - Agendové IS'!K96,"OK","Chyba počtu FTE")</f>
        <v>OK</v>
      </c>
      <c r="E48" s="557">
        <f t="shared" si="1"/>
        <v>0</v>
      </c>
      <c r="F48" s="256"/>
      <c r="G48" s="256"/>
      <c r="H48" s="256"/>
      <c r="I48" s="256"/>
    </row>
    <row r="49" spans="1:9" x14ac:dyDescent="0.3">
      <c r="A49" s="821" t="s">
        <v>41</v>
      </c>
      <c r="B49" s="824" t="s">
        <v>37</v>
      </c>
      <c r="C49" s="189" t="s">
        <v>25</v>
      </c>
      <c r="D49" s="553" t="str">
        <f>IF(E49='Parametre - Agendové IS'!K6,"OK","Chyba počtu podaní")</f>
        <v>OK</v>
      </c>
      <c r="E49" s="558">
        <f t="shared" si="1"/>
        <v>0</v>
      </c>
      <c r="F49" s="254"/>
      <c r="G49" s="254"/>
      <c r="H49" s="254"/>
      <c r="I49" s="254"/>
    </row>
    <row r="50" spans="1:9" x14ac:dyDescent="0.3">
      <c r="A50" s="822"/>
      <c r="B50" s="825"/>
      <c r="C50" s="186" t="s">
        <v>26</v>
      </c>
      <c r="D50" s="554" t="str">
        <f>IF(E50='Parametre - Agendové IS'!K7,"OK","Chyba počtu podaní")</f>
        <v>OK</v>
      </c>
      <c r="E50" s="555">
        <f t="shared" si="1"/>
        <v>0</v>
      </c>
      <c r="F50" s="255"/>
      <c r="G50" s="255"/>
      <c r="H50" s="255"/>
      <c r="I50" s="255"/>
    </row>
    <row r="51" spans="1:9" x14ac:dyDescent="0.3">
      <c r="A51" s="822"/>
      <c r="B51" s="825"/>
      <c r="C51" s="186" t="s">
        <v>27</v>
      </c>
      <c r="D51" s="554" t="str">
        <f>IF(E51='Parametre - Agendové IS'!K8,"OK","Chyba počtu podaní")</f>
        <v>OK</v>
      </c>
      <c r="E51" s="555">
        <f t="shared" si="1"/>
        <v>0</v>
      </c>
      <c r="F51" s="255"/>
      <c r="G51" s="255"/>
      <c r="H51" s="255"/>
      <c r="I51" s="255"/>
    </row>
    <row r="52" spans="1:9" x14ac:dyDescent="0.3">
      <c r="A52" s="822"/>
      <c r="B52" s="825"/>
      <c r="C52" s="186" t="s">
        <v>28</v>
      </c>
      <c r="D52" s="554" t="str">
        <f>IF(E52='Parametre - Agendové IS'!K9,"OK","Chyba počtu podaní")</f>
        <v>OK</v>
      </c>
      <c r="E52" s="555">
        <f t="shared" si="1"/>
        <v>0</v>
      </c>
      <c r="F52" s="255"/>
      <c r="G52" s="255"/>
      <c r="H52" s="255"/>
      <c r="I52" s="255"/>
    </row>
    <row r="53" spans="1:9" x14ac:dyDescent="0.3">
      <c r="A53" s="822"/>
      <c r="B53" s="825"/>
      <c r="C53" s="186" t="s">
        <v>29</v>
      </c>
      <c r="D53" s="554" t="str">
        <f>IF(E53='Parametre - Agendové IS'!K10,"OK","Chyba počtu podaní")</f>
        <v>OK</v>
      </c>
      <c r="E53" s="555">
        <f t="shared" si="1"/>
        <v>0</v>
      </c>
      <c r="F53" s="255"/>
      <c r="G53" s="255"/>
      <c r="H53" s="255"/>
      <c r="I53" s="255"/>
    </row>
    <row r="54" spans="1:9" x14ac:dyDescent="0.3">
      <c r="A54" s="822"/>
      <c r="B54" s="825"/>
      <c r="C54" s="186" t="s">
        <v>30</v>
      </c>
      <c r="D54" s="554" t="str">
        <f>IF(E54='Parametre - Agendové IS'!K11,"OK","Chyba počtu podaní")</f>
        <v>OK</v>
      </c>
      <c r="E54" s="555">
        <f t="shared" si="1"/>
        <v>0</v>
      </c>
      <c r="F54" s="255"/>
      <c r="G54" s="255"/>
      <c r="H54" s="255"/>
      <c r="I54" s="255"/>
    </row>
    <row r="55" spans="1:9" x14ac:dyDescent="0.3">
      <c r="A55" s="822"/>
      <c r="B55" s="825"/>
      <c r="C55" s="186" t="s">
        <v>31</v>
      </c>
      <c r="D55" s="554" t="str">
        <f>IF(E55='Parametre - Agendové IS'!K12,"OK","Chyba počtu podaní")</f>
        <v>OK</v>
      </c>
      <c r="E55" s="555">
        <f t="shared" si="1"/>
        <v>0</v>
      </c>
      <c r="F55" s="255"/>
      <c r="G55" s="255"/>
      <c r="H55" s="255"/>
      <c r="I55" s="255"/>
    </row>
    <row r="56" spans="1:9" x14ac:dyDescent="0.3">
      <c r="A56" s="822"/>
      <c r="B56" s="825"/>
      <c r="C56" s="186" t="s">
        <v>32</v>
      </c>
      <c r="D56" s="554" t="str">
        <f>IF(E56='Parametre - Agendové IS'!K13,"OK","Chyba počtu podaní")</f>
        <v>OK</v>
      </c>
      <c r="E56" s="555">
        <f t="shared" si="1"/>
        <v>0</v>
      </c>
      <c r="F56" s="255"/>
      <c r="G56" s="255"/>
      <c r="H56" s="255"/>
      <c r="I56" s="255"/>
    </row>
    <row r="57" spans="1:9" x14ac:dyDescent="0.3">
      <c r="A57" s="822"/>
      <c r="B57" s="825"/>
      <c r="C57" s="186" t="s">
        <v>33</v>
      </c>
      <c r="D57" s="554" t="str">
        <f>IF(E57='Parametre - Agendové IS'!K14,"OK","Chyba počtu podaní")</f>
        <v>OK</v>
      </c>
      <c r="E57" s="555">
        <f t="shared" si="1"/>
        <v>0</v>
      </c>
      <c r="F57" s="255"/>
      <c r="G57" s="255"/>
      <c r="H57" s="255"/>
      <c r="I57" s="255"/>
    </row>
    <row r="58" spans="1:9" ht="15" thickBot="1" x14ac:dyDescent="0.35">
      <c r="A58" s="823"/>
      <c r="B58" s="826"/>
      <c r="C58" s="187" t="s">
        <v>34</v>
      </c>
      <c r="D58" s="554" t="str">
        <f>IF(E58='Parametre - Agendové IS'!K15,"OK","Chyba počtu podaní")</f>
        <v>OK</v>
      </c>
      <c r="E58" s="555">
        <f t="shared" si="1"/>
        <v>0</v>
      </c>
      <c r="F58" s="255"/>
      <c r="G58" s="255"/>
      <c r="H58" s="255"/>
      <c r="I58" s="255"/>
    </row>
    <row r="59" spans="1:9" x14ac:dyDescent="0.3">
      <c r="A59" s="821" t="s">
        <v>39</v>
      </c>
      <c r="B59" s="824" t="s">
        <v>13</v>
      </c>
      <c r="C59" s="189" t="s">
        <v>25</v>
      </c>
      <c r="D59" s="553" t="str">
        <f>IF(E59='Parametre - Agendové IS'!K127,"OK","Chyba")</f>
        <v>OK</v>
      </c>
      <c r="E59" s="558">
        <f t="shared" si="1"/>
        <v>0</v>
      </c>
      <c r="F59" s="254"/>
      <c r="G59" s="254"/>
      <c r="H59" s="254"/>
      <c r="I59" s="254"/>
    </row>
    <row r="60" spans="1:9" x14ac:dyDescent="0.3">
      <c r="A60" s="822"/>
      <c r="B60" s="825"/>
      <c r="C60" s="186" t="s">
        <v>26</v>
      </c>
      <c r="D60" s="554" t="str">
        <f>IF(E60='Parametre - Agendové IS'!K128,"OK","Chyba")</f>
        <v>OK</v>
      </c>
      <c r="E60" s="555">
        <f t="shared" si="1"/>
        <v>0</v>
      </c>
      <c r="F60" s="255"/>
      <c r="G60" s="255"/>
      <c r="H60" s="255"/>
      <c r="I60" s="255"/>
    </row>
    <row r="61" spans="1:9" x14ac:dyDescent="0.3">
      <c r="A61" s="822"/>
      <c r="B61" s="825"/>
      <c r="C61" s="186" t="s">
        <v>27</v>
      </c>
      <c r="D61" s="554" t="str">
        <f>IF(E61='Parametre - Agendové IS'!K129,"OK","Chyba")</f>
        <v>OK</v>
      </c>
      <c r="E61" s="555">
        <f t="shared" si="1"/>
        <v>0</v>
      </c>
      <c r="F61" s="255"/>
      <c r="G61" s="255"/>
      <c r="H61" s="255"/>
      <c r="I61" s="255"/>
    </row>
    <row r="62" spans="1:9" x14ac:dyDescent="0.3">
      <c r="A62" s="822"/>
      <c r="B62" s="825"/>
      <c r="C62" s="186" t="s">
        <v>28</v>
      </c>
      <c r="D62" s="554" t="str">
        <f>IF(E62='Parametre - Agendové IS'!K130,"OK","Chyba")</f>
        <v>OK</v>
      </c>
      <c r="E62" s="555">
        <f t="shared" si="1"/>
        <v>0</v>
      </c>
      <c r="F62" s="255"/>
      <c r="G62" s="255"/>
      <c r="H62" s="255"/>
      <c r="I62" s="255"/>
    </row>
    <row r="63" spans="1:9" x14ac:dyDescent="0.3">
      <c r="A63" s="822"/>
      <c r="B63" s="825"/>
      <c r="C63" s="186" t="s">
        <v>29</v>
      </c>
      <c r="D63" s="554" t="str">
        <f>IF(E63='Parametre - Agendové IS'!K131,"OK","Chyba")</f>
        <v>OK</v>
      </c>
      <c r="E63" s="555">
        <f t="shared" si="1"/>
        <v>0</v>
      </c>
      <c r="F63" s="255"/>
      <c r="G63" s="255"/>
      <c r="H63" s="255"/>
      <c r="I63" s="255"/>
    </row>
    <row r="64" spans="1:9" x14ac:dyDescent="0.3">
      <c r="A64" s="822"/>
      <c r="B64" s="825"/>
      <c r="C64" s="186" t="s">
        <v>30</v>
      </c>
      <c r="D64" s="554" t="str">
        <f>IF(E64='Parametre - Agendové IS'!K132,"OK","Chyba")</f>
        <v>OK</v>
      </c>
      <c r="E64" s="555">
        <f t="shared" si="1"/>
        <v>0</v>
      </c>
      <c r="F64" s="255"/>
      <c r="G64" s="255"/>
      <c r="H64" s="255"/>
      <c r="I64" s="255"/>
    </row>
    <row r="65" spans="1:9" x14ac:dyDescent="0.3">
      <c r="A65" s="822"/>
      <c r="B65" s="825"/>
      <c r="C65" s="186" t="s">
        <v>31</v>
      </c>
      <c r="D65" s="554" t="str">
        <f>IF(E65='Parametre - Agendové IS'!K133,"OK","Chyba")</f>
        <v>OK</v>
      </c>
      <c r="E65" s="555">
        <f t="shared" si="1"/>
        <v>0</v>
      </c>
      <c r="F65" s="255"/>
      <c r="G65" s="255"/>
      <c r="H65" s="255"/>
      <c r="I65" s="255"/>
    </row>
    <row r="66" spans="1:9" x14ac:dyDescent="0.3">
      <c r="A66" s="822"/>
      <c r="B66" s="825"/>
      <c r="C66" s="186" t="s">
        <v>32</v>
      </c>
      <c r="D66" s="554" t="str">
        <f>IF(E66='Parametre - Agendové IS'!K134,"OK","Chyba")</f>
        <v>OK</v>
      </c>
      <c r="E66" s="555">
        <f t="shared" si="1"/>
        <v>0</v>
      </c>
      <c r="F66" s="255"/>
      <c r="G66" s="255"/>
      <c r="H66" s="255"/>
      <c r="I66" s="255"/>
    </row>
    <row r="67" spans="1:9" x14ac:dyDescent="0.3">
      <c r="A67" s="822"/>
      <c r="B67" s="825"/>
      <c r="C67" s="186" t="s">
        <v>33</v>
      </c>
      <c r="D67" s="554" t="str">
        <f>IF(E67='Parametre - Agendové IS'!K135,"OK","Chyba")</f>
        <v>OK</v>
      </c>
      <c r="E67" s="555">
        <f t="shared" si="1"/>
        <v>0</v>
      </c>
      <c r="F67" s="255"/>
      <c r="G67" s="255"/>
      <c r="H67" s="255"/>
      <c r="I67" s="255"/>
    </row>
    <row r="68" spans="1:9" ht="15" thickBot="1" x14ac:dyDescent="0.35">
      <c r="A68" s="823"/>
      <c r="B68" s="826"/>
      <c r="C68" s="187" t="s">
        <v>34</v>
      </c>
      <c r="D68" s="554" t="str">
        <f>IF(E68='Parametre - Agendové IS'!K136,"OK","Chyba")</f>
        <v>OK</v>
      </c>
      <c r="E68" s="555">
        <f t="shared" si="1"/>
        <v>0</v>
      </c>
      <c r="F68" s="255"/>
      <c r="G68" s="255"/>
      <c r="H68" s="255"/>
      <c r="I68" s="255"/>
    </row>
    <row r="71" spans="1:9" ht="15" thickBot="1" x14ac:dyDescent="0.35"/>
    <row r="72" spans="1:9" x14ac:dyDescent="0.3">
      <c r="A72" s="827" t="str">
        <f>'Parametre - Agendové IS'!M1</f>
        <v>N/A</v>
      </c>
      <c r="B72" s="828"/>
      <c r="C72" s="829"/>
      <c r="D72" s="833" t="s">
        <v>107</v>
      </c>
      <c r="E72" s="834"/>
      <c r="F72" s="347" t="s">
        <v>157</v>
      </c>
      <c r="G72" s="347" t="s">
        <v>158</v>
      </c>
      <c r="H72" s="347" t="s">
        <v>159</v>
      </c>
      <c r="I72" s="347" t="s">
        <v>161</v>
      </c>
    </row>
    <row r="73" spans="1:9" ht="15" thickBot="1" x14ac:dyDescent="0.35">
      <c r="A73" s="830"/>
      <c r="B73" s="831"/>
      <c r="C73" s="832"/>
      <c r="D73" s="550" t="s">
        <v>346</v>
      </c>
      <c r="E73" s="551" t="s">
        <v>160</v>
      </c>
      <c r="F73" s="188" t="s">
        <v>160</v>
      </c>
      <c r="G73" s="188" t="s">
        <v>160</v>
      </c>
      <c r="H73" s="188" t="s">
        <v>160</v>
      </c>
      <c r="I73" s="188" t="s">
        <v>160</v>
      </c>
    </row>
    <row r="74" spans="1:9" x14ac:dyDescent="0.3">
      <c r="A74" s="821" t="s">
        <v>43</v>
      </c>
      <c r="B74" s="824" t="s">
        <v>178</v>
      </c>
      <c r="C74" s="189" t="s">
        <v>25</v>
      </c>
      <c r="D74" s="552" t="str">
        <f>IF(E74='Parametre - Agendové IS'!N87,"OK","Chyba počtu FTE")</f>
        <v>OK</v>
      </c>
      <c r="E74" s="553">
        <f t="shared" ref="E74:E103" si="2">F74+G74+H74+I74</f>
        <v>0</v>
      </c>
      <c r="F74" s="254"/>
      <c r="G74" s="254"/>
      <c r="H74" s="254"/>
      <c r="I74" s="254"/>
    </row>
    <row r="75" spans="1:9" x14ac:dyDescent="0.3">
      <c r="A75" s="822"/>
      <c r="B75" s="825"/>
      <c r="C75" s="186" t="s">
        <v>26</v>
      </c>
      <c r="D75" s="554" t="str">
        <f>IF(E75='Parametre - Agendové IS'!N88,"OK","Chyba počtu FTE")</f>
        <v>OK</v>
      </c>
      <c r="E75" s="555">
        <f t="shared" si="2"/>
        <v>0</v>
      </c>
      <c r="F75" s="255"/>
      <c r="G75" s="255"/>
      <c r="H75" s="255"/>
      <c r="I75" s="255"/>
    </row>
    <row r="76" spans="1:9" x14ac:dyDescent="0.3">
      <c r="A76" s="822"/>
      <c r="B76" s="825"/>
      <c r="C76" s="186" t="s">
        <v>27</v>
      </c>
      <c r="D76" s="554" t="str">
        <f>IF(E76='Parametre - Agendové IS'!N89,"OK","Chyba počtu FTE")</f>
        <v>OK</v>
      </c>
      <c r="E76" s="555">
        <f t="shared" si="2"/>
        <v>0</v>
      </c>
      <c r="F76" s="255"/>
      <c r="G76" s="255"/>
      <c r="H76" s="255"/>
      <c r="I76" s="255"/>
    </row>
    <row r="77" spans="1:9" x14ac:dyDescent="0.3">
      <c r="A77" s="822"/>
      <c r="B77" s="825"/>
      <c r="C77" s="186" t="s">
        <v>28</v>
      </c>
      <c r="D77" s="554" t="str">
        <f>IF(E77='Parametre - Agendové IS'!N90,"OK","Chyba počtu FTE")</f>
        <v>OK</v>
      </c>
      <c r="E77" s="555">
        <f t="shared" si="2"/>
        <v>0</v>
      </c>
      <c r="F77" s="255"/>
      <c r="G77" s="255"/>
      <c r="H77" s="255"/>
      <c r="I77" s="255"/>
    </row>
    <row r="78" spans="1:9" x14ac:dyDescent="0.3">
      <c r="A78" s="822"/>
      <c r="B78" s="825"/>
      <c r="C78" s="186" t="s">
        <v>29</v>
      </c>
      <c r="D78" s="554" t="str">
        <f>IF(E78='Parametre - Agendové IS'!N91,"OK","Chyba počtu FTE")</f>
        <v>OK</v>
      </c>
      <c r="E78" s="555">
        <f t="shared" si="2"/>
        <v>0</v>
      </c>
      <c r="F78" s="255"/>
      <c r="G78" s="255"/>
      <c r="H78" s="255"/>
      <c r="I78" s="255"/>
    </row>
    <row r="79" spans="1:9" x14ac:dyDescent="0.3">
      <c r="A79" s="822"/>
      <c r="B79" s="825"/>
      <c r="C79" s="186" t="s">
        <v>30</v>
      </c>
      <c r="D79" s="554" t="str">
        <f>IF(E79='Parametre - Agendové IS'!N92,"OK","Chyba počtu FTE")</f>
        <v>OK</v>
      </c>
      <c r="E79" s="555">
        <f t="shared" si="2"/>
        <v>0</v>
      </c>
      <c r="F79" s="255"/>
      <c r="G79" s="255"/>
      <c r="H79" s="255"/>
      <c r="I79" s="255"/>
    </row>
    <row r="80" spans="1:9" x14ac:dyDescent="0.3">
      <c r="A80" s="822"/>
      <c r="B80" s="825"/>
      <c r="C80" s="186" t="s">
        <v>31</v>
      </c>
      <c r="D80" s="554" t="str">
        <f>IF(E80='Parametre - Agendové IS'!N93,"OK","Chyba počtu FTE")</f>
        <v>OK</v>
      </c>
      <c r="E80" s="555">
        <f t="shared" si="2"/>
        <v>0</v>
      </c>
      <c r="F80" s="255"/>
      <c r="G80" s="255"/>
      <c r="H80" s="255"/>
      <c r="I80" s="255"/>
    </row>
    <row r="81" spans="1:9" x14ac:dyDescent="0.3">
      <c r="A81" s="822"/>
      <c r="B81" s="825"/>
      <c r="C81" s="186" t="s">
        <v>32</v>
      </c>
      <c r="D81" s="554" t="str">
        <f>IF(E81='Parametre - Agendové IS'!N94,"OK","Chyba počtu FTE")</f>
        <v>OK</v>
      </c>
      <c r="E81" s="555">
        <f t="shared" si="2"/>
        <v>0</v>
      </c>
      <c r="F81" s="255"/>
      <c r="G81" s="255"/>
      <c r="H81" s="255"/>
      <c r="I81" s="255"/>
    </row>
    <row r="82" spans="1:9" x14ac:dyDescent="0.3">
      <c r="A82" s="822"/>
      <c r="B82" s="825"/>
      <c r="C82" s="186" t="s">
        <v>33</v>
      </c>
      <c r="D82" s="554" t="str">
        <f>IF(E82='Parametre - Agendové IS'!N95,"OK","Chyba počtu FTE")</f>
        <v>OK</v>
      </c>
      <c r="E82" s="555">
        <f t="shared" si="2"/>
        <v>0</v>
      </c>
      <c r="F82" s="255"/>
      <c r="G82" s="255"/>
      <c r="H82" s="255"/>
      <c r="I82" s="255"/>
    </row>
    <row r="83" spans="1:9" ht="15" thickBot="1" x14ac:dyDescent="0.35">
      <c r="A83" s="822"/>
      <c r="B83" s="825"/>
      <c r="C83" s="186" t="s">
        <v>34</v>
      </c>
      <c r="D83" s="556" t="str">
        <f>IF(E83='Parametre - Agendové IS'!N96,"OK","Chyba počtu FTE")</f>
        <v>OK</v>
      </c>
      <c r="E83" s="557">
        <f t="shared" si="2"/>
        <v>0</v>
      </c>
      <c r="F83" s="256"/>
      <c r="G83" s="256"/>
      <c r="H83" s="256"/>
      <c r="I83" s="256"/>
    </row>
    <row r="84" spans="1:9" x14ac:dyDescent="0.3">
      <c r="A84" s="821" t="s">
        <v>41</v>
      </c>
      <c r="B84" s="824" t="s">
        <v>37</v>
      </c>
      <c r="C84" s="189" t="s">
        <v>25</v>
      </c>
      <c r="D84" s="553" t="str">
        <f>IF(E84='Parametre - Agendové IS'!N6,"OK","Chyba počtu podaní")</f>
        <v>OK</v>
      </c>
      <c r="E84" s="558">
        <f t="shared" si="2"/>
        <v>0</v>
      </c>
      <c r="F84" s="254"/>
      <c r="G84" s="254"/>
      <c r="H84" s="254"/>
      <c r="I84" s="254"/>
    </row>
    <row r="85" spans="1:9" x14ac:dyDescent="0.3">
      <c r="A85" s="822"/>
      <c r="B85" s="825"/>
      <c r="C85" s="186" t="s">
        <v>26</v>
      </c>
      <c r="D85" s="554" t="str">
        <f>IF(E85='Parametre - Agendové IS'!N7,"OK","Chyba počtu podaní")</f>
        <v>OK</v>
      </c>
      <c r="E85" s="555">
        <f t="shared" si="2"/>
        <v>0</v>
      </c>
      <c r="F85" s="255"/>
      <c r="G85" s="255"/>
      <c r="H85" s="255"/>
      <c r="I85" s="255"/>
    </row>
    <row r="86" spans="1:9" x14ac:dyDescent="0.3">
      <c r="A86" s="822"/>
      <c r="B86" s="825"/>
      <c r="C86" s="186" t="s">
        <v>27</v>
      </c>
      <c r="D86" s="554" t="str">
        <f>IF(E86='Parametre - Agendové IS'!N8,"OK","Chyba počtu podaní")</f>
        <v>OK</v>
      </c>
      <c r="E86" s="555">
        <f t="shared" si="2"/>
        <v>0</v>
      </c>
      <c r="F86" s="255"/>
      <c r="G86" s="255"/>
      <c r="H86" s="255"/>
      <c r="I86" s="255"/>
    </row>
    <row r="87" spans="1:9" x14ac:dyDescent="0.3">
      <c r="A87" s="822"/>
      <c r="B87" s="825"/>
      <c r="C87" s="186" t="s">
        <v>28</v>
      </c>
      <c r="D87" s="554" t="str">
        <f>IF(E87='Parametre - Agendové IS'!N9,"OK","Chyba počtu podaní")</f>
        <v>OK</v>
      </c>
      <c r="E87" s="555">
        <f t="shared" si="2"/>
        <v>0</v>
      </c>
      <c r="F87" s="255"/>
      <c r="G87" s="255"/>
      <c r="H87" s="255"/>
      <c r="I87" s="255"/>
    </row>
    <row r="88" spans="1:9" x14ac:dyDescent="0.3">
      <c r="A88" s="822"/>
      <c r="B88" s="825"/>
      <c r="C88" s="186" t="s">
        <v>29</v>
      </c>
      <c r="D88" s="554" t="str">
        <f>IF(E88='Parametre - Agendové IS'!N10,"OK","Chyba počtu podaní")</f>
        <v>OK</v>
      </c>
      <c r="E88" s="555">
        <f t="shared" si="2"/>
        <v>0</v>
      </c>
      <c r="F88" s="255"/>
      <c r="G88" s="255"/>
      <c r="H88" s="255"/>
      <c r="I88" s="255"/>
    </row>
    <row r="89" spans="1:9" x14ac:dyDescent="0.3">
      <c r="A89" s="822"/>
      <c r="B89" s="825"/>
      <c r="C89" s="186" t="s">
        <v>30</v>
      </c>
      <c r="D89" s="554" t="str">
        <f>IF(E89='Parametre - Agendové IS'!N11,"OK","Chyba počtu podaní")</f>
        <v>OK</v>
      </c>
      <c r="E89" s="555">
        <f t="shared" si="2"/>
        <v>0</v>
      </c>
      <c r="F89" s="255"/>
      <c r="G89" s="255"/>
      <c r="H89" s="255"/>
      <c r="I89" s="255"/>
    </row>
    <row r="90" spans="1:9" x14ac:dyDescent="0.3">
      <c r="A90" s="822"/>
      <c r="B90" s="825"/>
      <c r="C90" s="186" t="s">
        <v>31</v>
      </c>
      <c r="D90" s="554" t="str">
        <f>IF(E90='Parametre - Agendové IS'!N12,"OK","Chyba počtu podaní")</f>
        <v>OK</v>
      </c>
      <c r="E90" s="555">
        <f t="shared" si="2"/>
        <v>0</v>
      </c>
      <c r="F90" s="255"/>
      <c r="G90" s="255"/>
      <c r="H90" s="255"/>
      <c r="I90" s="255"/>
    </row>
    <row r="91" spans="1:9" x14ac:dyDescent="0.3">
      <c r="A91" s="822"/>
      <c r="B91" s="825"/>
      <c r="C91" s="186" t="s">
        <v>32</v>
      </c>
      <c r="D91" s="554" t="str">
        <f>IF(E91='Parametre - Agendové IS'!N13,"OK","Chyba počtu podaní")</f>
        <v>OK</v>
      </c>
      <c r="E91" s="555">
        <f t="shared" si="2"/>
        <v>0</v>
      </c>
      <c r="F91" s="255"/>
      <c r="G91" s="255"/>
      <c r="H91" s="255"/>
      <c r="I91" s="255"/>
    </row>
    <row r="92" spans="1:9" x14ac:dyDescent="0.3">
      <c r="A92" s="822"/>
      <c r="B92" s="825"/>
      <c r="C92" s="186" t="s">
        <v>33</v>
      </c>
      <c r="D92" s="554" t="str">
        <f>IF(E92='Parametre - Agendové IS'!N14,"OK","Chyba počtu podaní")</f>
        <v>OK</v>
      </c>
      <c r="E92" s="555">
        <f t="shared" si="2"/>
        <v>0</v>
      </c>
      <c r="F92" s="255"/>
      <c r="G92" s="255"/>
      <c r="H92" s="255"/>
      <c r="I92" s="255"/>
    </row>
    <row r="93" spans="1:9" ht="15" thickBot="1" x14ac:dyDescent="0.35">
      <c r="A93" s="823"/>
      <c r="B93" s="826"/>
      <c r="C93" s="187" t="s">
        <v>34</v>
      </c>
      <c r="D93" s="554" t="str">
        <f>IF(E93='Parametre - Agendové IS'!N15,"OK","Chyba počtu podaní")</f>
        <v>OK</v>
      </c>
      <c r="E93" s="555">
        <f t="shared" si="2"/>
        <v>0</v>
      </c>
      <c r="F93" s="255"/>
      <c r="G93" s="255"/>
      <c r="H93" s="255"/>
      <c r="I93" s="255"/>
    </row>
    <row r="94" spans="1:9" x14ac:dyDescent="0.3">
      <c r="A94" s="821" t="s">
        <v>39</v>
      </c>
      <c r="B94" s="824" t="s">
        <v>13</v>
      </c>
      <c r="C94" s="189" t="s">
        <v>25</v>
      </c>
      <c r="D94" s="553" t="str">
        <f>IF(E94='Parametre - Agendové IS'!N127,"OK","Chyba")</f>
        <v>OK</v>
      </c>
      <c r="E94" s="558">
        <f t="shared" si="2"/>
        <v>0</v>
      </c>
      <c r="F94" s="254"/>
      <c r="G94" s="254"/>
      <c r="H94" s="254"/>
      <c r="I94" s="254"/>
    </row>
    <row r="95" spans="1:9" x14ac:dyDescent="0.3">
      <c r="A95" s="822"/>
      <c r="B95" s="825"/>
      <c r="C95" s="186" t="s">
        <v>26</v>
      </c>
      <c r="D95" s="554" t="str">
        <f>IF(E95='Parametre - Agendové IS'!N128,"OK","Chyba")</f>
        <v>OK</v>
      </c>
      <c r="E95" s="555">
        <f t="shared" si="2"/>
        <v>0</v>
      </c>
      <c r="F95" s="255"/>
      <c r="G95" s="255"/>
      <c r="H95" s="255"/>
      <c r="I95" s="255"/>
    </row>
    <row r="96" spans="1:9" x14ac:dyDescent="0.3">
      <c r="A96" s="822"/>
      <c r="B96" s="825"/>
      <c r="C96" s="186" t="s">
        <v>27</v>
      </c>
      <c r="D96" s="554" t="str">
        <f>IF(E96='Parametre - Agendové IS'!N129,"OK","Chyba")</f>
        <v>OK</v>
      </c>
      <c r="E96" s="555">
        <f t="shared" si="2"/>
        <v>0</v>
      </c>
      <c r="F96" s="255"/>
      <c r="G96" s="255"/>
      <c r="H96" s="255"/>
      <c r="I96" s="255"/>
    </row>
    <row r="97" spans="1:9" x14ac:dyDescent="0.3">
      <c r="A97" s="822"/>
      <c r="B97" s="825"/>
      <c r="C97" s="186" t="s">
        <v>28</v>
      </c>
      <c r="D97" s="554" t="str">
        <f>IF(E97='Parametre - Agendové IS'!N130,"OK","Chyba")</f>
        <v>OK</v>
      </c>
      <c r="E97" s="555">
        <f t="shared" si="2"/>
        <v>0</v>
      </c>
      <c r="F97" s="255"/>
      <c r="G97" s="255"/>
      <c r="H97" s="255"/>
      <c r="I97" s="255"/>
    </row>
    <row r="98" spans="1:9" x14ac:dyDescent="0.3">
      <c r="A98" s="822"/>
      <c r="B98" s="825"/>
      <c r="C98" s="186" t="s">
        <v>29</v>
      </c>
      <c r="D98" s="554" t="str">
        <f>IF(E98='Parametre - Agendové IS'!N131,"OK","Chyba")</f>
        <v>OK</v>
      </c>
      <c r="E98" s="555">
        <f t="shared" si="2"/>
        <v>0</v>
      </c>
      <c r="F98" s="255"/>
      <c r="G98" s="255"/>
      <c r="H98" s="255"/>
      <c r="I98" s="255"/>
    </row>
    <row r="99" spans="1:9" x14ac:dyDescent="0.3">
      <c r="A99" s="822"/>
      <c r="B99" s="825"/>
      <c r="C99" s="186" t="s">
        <v>30</v>
      </c>
      <c r="D99" s="554" t="str">
        <f>IF(E99='Parametre - Agendové IS'!N132,"OK","Chyba")</f>
        <v>OK</v>
      </c>
      <c r="E99" s="555">
        <f t="shared" si="2"/>
        <v>0</v>
      </c>
      <c r="F99" s="255"/>
      <c r="G99" s="255"/>
      <c r="H99" s="255"/>
      <c r="I99" s="255"/>
    </row>
    <row r="100" spans="1:9" x14ac:dyDescent="0.3">
      <c r="A100" s="822"/>
      <c r="B100" s="825"/>
      <c r="C100" s="186" t="s">
        <v>31</v>
      </c>
      <c r="D100" s="554" t="str">
        <f>IF(E100='Parametre - Agendové IS'!N133,"OK","Chyba")</f>
        <v>OK</v>
      </c>
      <c r="E100" s="555">
        <f t="shared" si="2"/>
        <v>0</v>
      </c>
      <c r="F100" s="255"/>
      <c r="G100" s="255"/>
      <c r="H100" s="255"/>
      <c r="I100" s="255"/>
    </row>
    <row r="101" spans="1:9" x14ac:dyDescent="0.3">
      <c r="A101" s="822"/>
      <c r="B101" s="825"/>
      <c r="C101" s="186" t="s">
        <v>32</v>
      </c>
      <c r="D101" s="554" t="str">
        <f>IF(E101='Parametre - Agendové IS'!N134,"OK","Chyba")</f>
        <v>OK</v>
      </c>
      <c r="E101" s="555">
        <f t="shared" si="2"/>
        <v>0</v>
      </c>
      <c r="F101" s="255"/>
      <c r="G101" s="255"/>
      <c r="H101" s="255"/>
      <c r="I101" s="255"/>
    </row>
    <row r="102" spans="1:9" x14ac:dyDescent="0.3">
      <c r="A102" s="822"/>
      <c r="B102" s="825"/>
      <c r="C102" s="186" t="s">
        <v>33</v>
      </c>
      <c r="D102" s="554" t="str">
        <f>IF(E102='Parametre - Agendové IS'!N135,"OK","Chyba")</f>
        <v>OK</v>
      </c>
      <c r="E102" s="555">
        <f t="shared" si="2"/>
        <v>0</v>
      </c>
      <c r="F102" s="255"/>
      <c r="G102" s="255"/>
      <c r="H102" s="255"/>
      <c r="I102" s="255"/>
    </row>
    <row r="103" spans="1:9" ht="15" thickBot="1" x14ac:dyDescent="0.35">
      <c r="A103" s="823"/>
      <c r="B103" s="826"/>
      <c r="C103" s="187" t="s">
        <v>34</v>
      </c>
      <c r="D103" s="554" t="str">
        <f>IF(E103='Parametre - Agendové IS'!N136,"OK","Chyba")</f>
        <v>OK</v>
      </c>
      <c r="E103" s="555">
        <f t="shared" si="2"/>
        <v>0</v>
      </c>
      <c r="F103" s="255"/>
      <c r="G103" s="255"/>
      <c r="H103" s="255"/>
      <c r="I103" s="255"/>
    </row>
    <row r="106" spans="1:9" ht="15" thickBot="1" x14ac:dyDescent="0.35"/>
    <row r="107" spans="1:9" x14ac:dyDescent="0.3">
      <c r="A107" s="827" t="str">
        <f>'Parametre - Agendové IS'!P1</f>
        <v>N/A</v>
      </c>
      <c r="B107" s="828"/>
      <c r="C107" s="829"/>
      <c r="D107" s="833" t="s">
        <v>107</v>
      </c>
      <c r="E107" s="834"/>
      <c r="F107" s="347" t="s">
        <v>157</v>
      </c>
      <c r="G107" s="347" t="s">
        <v>158</v>
      </c>
      <c r="H107" s="347" t="s">
        <v>159</v>
      </c>
      <c r="I107" s="347" t="s">
        <v>161</v>
      </c>
    </row>
    <row r="108" spans="1:9" ht="15" thickBot="1" x14ac:dyDescent="0.35">
      <c r="A108" s="830"/>
      <c r="B108" s="831"/>
      <c r="C108" s="832"/>
      <c r="D108" s="550" t="s">
        <v>346</v>
      </c>
      <c r="E108" s="551" t="s">
        <v>160</v>
      </c>
      <c r="F108" s="188" t="s">
        <v>160</v>
      </c>
      <c r="G108" s="188" t="s">
        <v>160</v>
      </c>
      <c r="H108" s="188" t="s">
        <v>160</v>
      </c>
      <c r="I108" s="188" t="s">
        <v>160</v>
      </c>
    </row>
    <row r="109" spans="1:9" x14ac:dyDescent="0.3">
      <c r="A109" s="821" t="s">
        <v>43</v>
      </c>
      <c r="B109" s="824" t="s">
        <v>178</v>
      </c>
      <c r="C109" s="189" t="s">
        <v>25</v>
      </c>
      <c r="D109" s="552" t="str">
        <f>IF(E109='Parametre - Agendové IS'!Q87,"OK","Chyba počtu FTE")</f>
        <v>OK</v>
      </c>
      <c r="E109" s="553">
        <f t="shared" ref="E109:E138" si="3">F109+G109+H109+I109</f>
        <v>0</v>
      </c>
      <c r="F109" s="254"/>
      <c r="G109" s="254"/>
      <c r="H109" s="254"/>
      <c r="I109" s="254"/>
    </row>
    <row r="110" spans="1:9" x14ac:dyDescent="0.3">
      <c r="A110" s="822"/>
      <c r="B110" s="825"/>
      <c r="C110" s="186" t="s">
        <v>26</v>
      </c>
      <c r="D110" s="554" t="str">
        <f>IF(E110='Parametre - Agendové IS'!Q88,"OK","Chyba počtu FTE")</f>
        <v>OK</v>
      </c>
      <c r="E110" s="555">
        <f t="shared" si="3"/>
        <v>0</v>
      </c>
      <c r="F110" s="255"/>
      <c r="G110" s="255"/>
      <c r="H110" s="255"/>
      <c r="I110" s="255"/>
    </row>
    <row r="111" spans="1:9" x14ac:dyDescent="0.3">
      <c r="A111" s="822"/>
      <c r="B111" s="825"/>
      <c r="C111" s="186" t="s">
        <v>27</v>
      </c>
      <c r="D111" s="554" t="str">
        <f>IF(E111='Parametre - Agendové IS'!Q89,"OK","Chyba počtu FTE")</f>
        <v>OK</v>
      </c>
      <c r="E111" s="555">
        <f t="shared" si="3"/>
        <v>0</v>
      </c>
      <c r="F111" s="255"/>
      <c r="G111" s="255"/>
      <c r="H111" s="255"/>
      <c r="I111" s="255"/>
    </row>
    <row r="112" spans="1:9" x14ac:dyDescent="0.3">
      <c r="A112" s="822"/>
      <c r="B112" s="825"/>
      <c r="C112" s="186" t="s">
        <v>28</v>
      </c>
      <c r="D112" s="554" t="str">
        <f>IF(E112='Parametre - Agendové IS'!Q90,"OK","Chyba počtu FTE")</f>
        <v>OK</v>
      </c>
      <c r="E112" s="555">
        <f t="shared" si="3"/>
        <v>0</v>
      </c>
      <c r="F112" s="255"/>
      <c r="G112" s="255"/>
      <c r="H112" s="255"/>
      <c r="I112" s="255"/>
    </row>
    <row r="113" spans="1:9" x14ac:dyDescent="0.3">
      <c r="A113" s="822"/>
      <c r="B113" s="825"/>
      <c r="C113" s="186" t="s">
        <v>29</v>
      </c>
      <c r="D113" s="554" t="str">
        <f>IF(E113='Parametre - Agendové IS'!Q91,"OK","Chyba počtu FTE")</f>
        <v>OK</v>
      </c>
      <c r="E113" s="555">
        <f t="shared" si="3"/>
        <v>0</v>
      </c>
      <c r="F113" s="255"/>
      <c r="G113" s="255"/>
      <c r="H113" s="255"/>
      <c r="I113" s="255"/>
    </row>
    <row r="114" spans="1:9" x14ac:dyDescent="0.3">
      <c r="A114" s="822"/>
      <c r="B114" s="825"/>
      <c r="C114" s="186" t="s">
        <v>30</v>
      </c>
      <c r="D114" s="554" t="str">
        <f>IF(E114='Parametre - Agendové IS'!Q92,"OK","Chyba počtu FTE")</f>
        <v>OK</v>
      </c>
      <c r="E114" s="555">
        <f t="shared" si="3"/>
        <v>0</v>
      </c>
      <c r="F114" s="255"/>
      <c r="G114" s="255"/>
      <c r="H114" s="255"/>
      <c r="I114" s="255"/>
    </row>
    <row r="115" spans="1:9" x14ac:dyDescent="0.3">
      <c r="A115" s="822"/>
      <c r="B115" s="825"/>
      <c r="C115" s="186" t="s">
        <v>31</v>
      </c>
      <c r="D115" s="554" t="str">
        <f>IF(E115='Parametre - Agendové IS'!Q93,"OK","Chyba počtu FTE")</f>
        <v>OK</v>
      </c>
      <c r="E115" s="555">
        <f t="shared" si="3"/>
        <v>0</v>
      </c>
      <c r="F115" s="255"/>
      <c r="G115" s="255"/>
      <c r="H115" s="255"/>
      <c r="I115" s="255"/>
    </row>
    <row r="116" spans="1:9" x14ac:dyDescent="0.3">
      <c r="A116" s="822"/>
      <c r="B116" s="825"/>
      <c r="C116" s="186" t="s">
        <v>32</v>
      </c>
      <c r="D116" s="554" t="str">
        <f>IF(E116='Parametre - Agendové IS'!Q94,"OK","Chyba počtu FTE")</f>
        <v>OK</v>
      </c>
      <c r="E116" s="555">
        <f t="shared" si="3"/>
        <v>0</v>
      </c>
      <c r="F116" s="255"/>
      <c r="G116" s="255"/>
      <c r="H116" s="255"/>
      <c r="I116" s="255"/>
    </row>
    <row r="117" spans="1:9" x14ac:dyDescent="0.3">
      <c r="A117" s="822"/>
      <c r="B117" s="825"/>
      <c r="C117" s="186" t="s">
        <v>33</v>
      </c>
      <c r="D117" s="554" t="str">
        <f>IF(E117='Parametre - Agendové IS'!Q95,"OK","Chyba počtu FTE")</f>
        <v>OK</v>
      </c>
      <c r="E117" s="555">
        <f t="shared" si="3"/>
        <v>0</v>
      </c>
      <c r="F117" s="255"/>
      <c r="G117" s="255"/>
      <c r="H117" s="255"/>
      <c r="I117" s="255"/>
    </row>
    <row r="118" spans="1:9" ht="15" thickBot="1" x14ac:dyDescent="0.35">
      <c r="A118" s="822"/>
      <c r="B118" s="825"/>
      <c r="C118" s="186" t="s">
        <v>34</v>
      </c>
      <c r="D118" s="556" t="str">
        <f>IF(E118='Parametre - Agendové IS'!Q96,"OK","Chyba počtu FTE")</f>
        <v>OK</v>
      </c>
      <c r="E118" s="557">
        <f t="shared" si="3"/>
        <v>0</v>
      </c>
      <c r="F118" s="256"/>
      <c r="G118" s="256"/>
      <c r="H118" s="256"/>
      <c r="I118" s="256"/>
    </row>
    <row r="119" spans="1:9" x14ac:dyDescent="0.3">
      <c r="A119" s="821" t="s">
        <v>41</v>
      </c>
      <c r="B119" s="824" t="s">
        <v>37</v>
      </c>
      <c r="C119" s="189" t="s">
        <v>25</v>
      </c>
      <c r="D119" s="553" t="str">
        <f>IF(E119='Parametre - Agendové IS'!Q6,"OK","Chyba počtu podaní")</f>
        <v>OK</v>
      </c>
      <c r="E119" s="558">
        <f t="shared" si="3"/>
        <v>0</v>
      </c>
      <c r="F119" s="254"/>
      <c r="G119" s="254"/>
      <c r="H119" s="254"/>
      <c r="I119" s="254"/>
    </row>
    <row r="120" spans="1:9" x14ac:dyDescent="0.3">
      <c r="A120" s="822"/>
      <c r="B120" s="825"/>
      <c r="C120" s="186" t="s">
        <v>26</v>
      </c>
      <c r="D120" s="554" t="str">
        <f>IF(E120='Parametre - Agendové IS'!Q7,"OK","Chyba počtu podaní")</f>
        <v>OK</v>
      </c>
      <c r="E120" s="555">
        <f t="shared" si="3"/>
        <v>0</v>
      </c>
      <c r="F120" s="255"/>
      <c r="G120" s="255"/>
      <c r="H120" s="255"/>
      <c r="I120" s="255"/>
    </row>
    <row r="121" spans="1:9" x14ac:dyDescent="0.3">
      <c r="A121" s="822"/>
      <c r="B121" s="825"/>
      <c r="C121" s="186" t="s">
        <v>27</v>
      </c>
      <c r="D121" s="554" t="str">
        <f>IF(E121='Parametre - Agendové IS'!Q8,"OK","Chyba počtu podaní")</f>
        <v>OK</v>
      </c>
      <c r="E121" s="555">
        <f t="shared" si="3"/>
        <v>0</v>
      </c>
      <c r="F121" s="255"/>
      <c r="G121" s="255"/>
      <c r="H121" s="255"/>
      <c r="I121" s="255"/>
    </row>
    <row r="122" spans="1:9" x14ac:dyDescent="0.3">
      <c r="A122" s="822"/>
      <c r="B122" s="825"/>
      <c r="C122" s="186" t="s">
        <v>28</v>
      </c>
      <c r="D122" s="554" t="str">
        <f>IF(E122='Parametre - Agendové IS'!Q9,"OK","Chyba počtu podaní")</f>
        <v>OK</v>
      </c>
      <c r="E122" s="555">
        <f t="shared" si="3"/>
        <v>0</v>
      </c>
      <c r="F122" s="255"/>
      <c r="G122" s="255"/>
      <c r="H122" s="255"/>
      <c r="I122" s="255"/>
    </row>
    <row r="123" spans="1:9" x14ac:dyDescent="0.3">
      <c r="A123" s="822"/>
      <c r="B123" s="825"/>
      <c r="C123" s="186" t="s">
        <v>29</v>
      </c>
      <c r="D123" s="554" t="str">
        <f>IF(E123='Parametre - Agendové IS'!Q10,"OK","Chyba počtu podaní")</f>
        <v>OK</v>
      </c>
      <c r="E123" s="555">
        <f t="shared" si="3"/>
        <v>0</v>
      </c>
      <c r="F123" s="255"/>
      <c r="G123" s="255"/>
      <c r="H123" s="255"/>
      <c r="I123" s="255"/>
    </row>
    <row r="124" spans="1:9" x14ac:dyDescent="0.3">
      <c r="A124" s="822"/>
      <c r="B124" s="825"/>
      <c r="C124" s="186" t="s">
        <v>30</v>
      </c>
      <c r="D124" s="554" t="str">
        <f>IF(E124='Parametre - Agendové IS'!Q11,"OK","Chyba počtu podaní")</f>
        <v>OK</v>
      </c>
      <c r="E124" s="555">
        <f t="shared" si="3"/>
        <v>0</v>
      </c>
      <c r="F124" s="255"/>
      <c r="G124" s="255"/>
      <c r="H124" s="255"/>
      <c r="I124" s="255"/>
    </row>
    <row r="125" spans="1:9" x14ac:dyDescent="0.3">
      <c r="A125" s="822"/>
      <c r="B125" s="825"/>
      <c r="C125" s="186" t="s">
        <v>31</v>
      </c>
      <c r="D125" s="554" t="str">
        <f>IF(E125='Parametre - Agendové IS'!Q12,"OK","Chyba počtu podaní")</f>
        <v>OK</v>
      </c>
      <c r="E125" s="555">
        <f t="shared" si="3"/>
        <v>0</v>
      </c>
      <c r="F125" s="255"/>
      <c r="G125" s="255"/>
      <c r="H125" s="255"/>
      <c r="I125" s="255"/>
    </row>
    <row r="126" spans="1:9" x14ac:dyDescent="0.3">
      <c r="A126" s="822"/>
      <c r="B126" s="825"/>
      <c r="C126" s="186" t="s">
        <v>32</v>
      </c>
      <c r="D126" s="554" t="str">
        <f>IF(E126='Parametre - Agendové IS'!Q13,"OK","Chyba počtu podaní")</f>
        <v>OK</v>
      </c>
      <c r="E126" s="555">
        <f t="shared" si="3"/>
        <v>0</v>
      </c>
      <c r="F126" s="255"/>
      <c r="G126" s="255"/>
      <c r="H126" s="255"/>
      <c r="I126" s="255"/>
    </row>
    <row r="127" spans="1:9" x14ac:dyDescent="0.3">
      <c r="A127" s="822"/>
      <c r="B127" s="825"/>
      <c r="C127" s="186" t="s">
        <v>33</v>
      </c>
      <c r="D127" s="554" t="str">
        <f>IF(E127='Parametre - Agendové IS'!Q14,"OK","Chyba počtu podaní")</f>
        <v>OK</v>
      </c>
      <c r="E127" s="555">
        <f t="shared" si="3"/>
        <v>0</v>
      </c>
      <c r="F127" s="255"/>
      <c r="G127" s="255"/>
      <c r="H127" s="255"/>
      <c r="I127" s="255"/>
    </row>
    <row r="128" spans="1:9" ht="15" thickBot="1" x14ac:dyDescent="0.35">
      <c r="A128" s="823"/>
      <c r="B128" s="826"/>
      <c r="C128" s="187" t="s">
        <v>34</v>
      </c>
      <c r="D128" s="554" t="str">
        <f>IF(E128='Parametre - Agendové IS'!Q15,"OK","Chyba počtu podaní")</f>
        <v>OK</v>
      </c>
      <c r="E128" s="555">
        <f t="shared" si="3"/>
        <v>0</v>
      </c>
      <c r="F128" s="255"/>
      <c r="G128" s="255"/>
      <c r="H128" s="255"/>
      <c r="I128" s="255"/>
    </row>
    <row r="129" spans="1:9" x14ac:dyDescent="0.3">
      <c r="A129" s="821" t="s">
        <v>39</v>
      </c>
      <c r="B129" s="824" t="s">
        <v>13</v>
      </c>
      <c r="C129" s="189" t="s">
        <v>25</v>
      </c>
      <c r="D129" s="553" t="str">
        <f>IF(E129='Parametre - Agendové IS'!Q127,"OK","Chyba")</f>
        <v>OK</v>
      </c>
      <c r="E129" s="558">
        <f t="shared" si="3"/>
        <v>0</v>
      </c>
      <c r="F129" s="254"/>
      <c r="G129" s="254"/>
      <c r="H129" s="254"/>
      <c r="I129" s="254"/>
    </row>
    <row r="130" spans="1:9" x14ac:dyDescent="0.3">
      <c r="A130" s="822"/>
      <c r="B130" s="825"/>
      <c r="C130" s="186" t="s">
        <v>26</v>
      </c>
      <c r="D130" s="554" t="str">
        <f>IF(E130='Parametre - Agendové IS'!Q128,"OK","Chyba")</f>
        <v>OK</v>
      </c>
      <c r="E130" s="555">
        <f t="shared" si="3"/>
        <v>0</v>
      </c>
      <c r="F130" s="255"/>
      <c r="G130" s="255"/>
      <c r="H130" s="255"/>
      <c r="I130" s="255"/>
    </row>
    <row r="131" spans="1:9" x14ac:dyDescent="0.3">
      <c r="A131" s="822"/>
      <c r="B131" s="825"/>
      <c r="C131" s="186" t="s">
        <v>27</v>
      </c>
      <c r="D131" s="554" t="str">
        <f>IF(E131='Parametre - Agendové IS'!Q129,"OK","Chyba")</f>
        <v>OK</v>
      </c>
      <c r="E131" s="555">
        <f t="shared" si="3"/>
        <v>0</v>
      </c>
      <c r="F131" s="255"/>
      <c r="G131" s="255"/>
      <c r="H131" s="255"/>
      <c r="I131" s="255"/>
    </row>
    <row r="132" spans="1:9" x14ac:dyDescent="0.3">
      <c r="A132" s="822"/>
      <c r="B132" s="825"/>
      <c r="C132" s="186" t="s">
        <v>28</v>
      </c>
      <c r="D132" s="554" t="str">
        <f>IF(E132='Parametre - Agendové IS'!Q130,"OK","Chyba")</f>
        <v>OK</v>
      </c>
      <c r="E132" s="555">
        <f t="shared" si="3"/>
        <v>0</v>
      </c>
      <c r="F132" s="255"/>
      <c r="G132" s="255"/>
      <c r="H132" s="255"/>
      <c r="I132" s="255"/>
    </row>
    <row r="133" spans="1:9" x14ac:dyDescent="0.3">
      <c r="A133" s="822"/>
      <c r="B133" s="825"/>
      <c r="C133" s="186" t="s">
        <v>29</v>
      </c>
      <c r="D133" s="554" t="str">
        <f>IF(E133='Parametre - Agendové IS'!Q131,"OK","Chyba")</f>
        <v>OK</v>
      </c>
      <c r="E133" s="555">
        <f t="shared" si="3"/>
        <v>0</v>
      </c>
      <c r="F133" s="255"/>
      <c r="G133" s="255"/>
      <c r="H133" s="255"/>
      <c r="I133" s="255"/>
    </row>
    <row r="134" spans="1:9" x14ac:dyDescent="0.3">
      <c r="A134" s="822"/>
      <c r="B134" s="825"/>
      <c r="C134" s="186" t="s">
        <v>30</v>
      </c>
      <c r="D134" s="554" t="str">
        <f>IF(E134='Parametre - Agendové IS'!Q132,"OK","Chyba")</f>
        <v>OK</v>
      </c>
      <c r="E134" s="555">
        <f t="shared" si="3"/>
        <v>0</v>
      </c>
      <c r="F134" s="255"/>
      <c r="G134" s="255"/>
      <c r="H134" s="255"/>
      <c r="I134" s="255"/>
    </row>
    <row r="135" spans="1:9" x14ac:dyDescent="0.3">
      <c r="A135" s="822"/>
      <c r="B135" s="825"/>
      <c r="C135" s="186" t="s">
        <v>31</v>
      </c>
      <c r="D135" s="554" t="str">
        <f>IF(E135='Parametre - Agendové IS'!Q133,"OK","Chyba")</f>
        <v>OK</v>
      </c>
      <c r="E135" s="555">
        <f t="shared" si="3"/>
        <v>0</v>
      </c>
      <c r="F135" s="255"/>
      <c r="G135" s="255"/>
      <c r="H135" s="255"/>
      <c r="I135" s="255"/>
    </row>
    <row r="136" spans="1:9" x14ac:dyDescent="0.3">
      <c r="A136" s="822"/>
      <c r="B136" s="825"/>
      <c r="C136" s="186" t="s">
        <v>32</v>
      </c>
      <c r="D136" s="554" t="str">
        <f>IF(E136='Parametre - Agendové IS'!Q134,"OK","Chyba")</f>
        <v>OK</v>
      </c>
      <c r="E136" s="555">
        <f t="shared" si="3"/>
        <v>0</v>
      </c>
      <c r="F136" s="255"/>
      <c r="G136" s="255"/>
      <c r="H136" s="255"/>
      <c r="I136" s="255"/>
    </row>
    <row r="137" spans="1:9" x14ac:dyDescent="0.3">
      <c r="A137" s="822"/>
      <c r="B137" s="825"/>
      <c r="C137" s="186" t="s">
        <v>33</v>
      </c>
      <c r="D137" s="554" t="str">
        <f>IF(E137='Parametre - Agendové IS'!Q135,"OK","Chyba")</f>
        <v>OK</v>
      </c>
      <c r="E137" s="555">
        <f t="shared" si="3"/>
        <v>0</v>
      </c>
      <c r="F137" s="255"/>
      <c r="G137" s="255"/>
      <c r="H137" s="255"/>
      <c r="I137" s="255"/>
    </row>
    <row r="138" spans="1:9" ht="15" thickBot="1" x14ac:dyDescent="0.35">
      <c r="A138" s="823"/>
      <c r="B138" s="826"/>
      <c r="C138" s="187" t="s">
        <v>34</v>
      </c>
      <c r="D138" s="554" t="str">
        <f>IF(E138='Parametre - Agendové IS'!Q136,"OK","Chyba")</f>
        <v>OK</v>
      </c>
      <c r="E138" s="555">
        <f t="shared" si="3"/>
        <v>0</v>
      </c>
      <c r="F138" s="255"/>
      <c r="G138" s="255"/>
      <c r="H138" s="255"/>
      <c r="I138" s="255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192185780B3746972145F6A06BD55F" ma:contentTypeVersion="6" ma:contentTypeDescription="Umožňuje vytvoriť nový dokument." ma:contentTypeScope="" ma:versionID="bb97e1e9eac40a8e540fd611ae55fd88">
  <xsd:schema xmlns:xsd="http://www.w3.org/2001/XMLSchema" xmlns:xs="http://www.w3.org/2001/XMLSchema" xmlns:p="http://schemas.microsoft.com/office/2006/metadata/properties" xmlns:ns2="25fa64a8-ba62-4fef-9d2f-80e254a6648f" targetNamespace="http://schemas.microsoft.com/office/2006/metadata/properties" ma:root="true" ma:fieldsID="2cfcdcb6606f7b132ceece59bbb6284f" ns2:_="">
    <xsd:import namespace="25fa64a8-ba62-4fef-9d2f-80e254a664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a64a8-ba62-4fef-9d2f-80e254a66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96884F-A7DE-413D-ADEB-F7E23DD6637C}"/>
</file>

<file path=customXml/itemProps2.xml><?xml version="1.0" encoding="utf-8"?>
<ds:datastoreItem xmlns:ds="http://schemas.openxmlformats.org/officeDocument/2006/customXml" ds:itemID="{5000CD49-E773-4BC4-8FC6-8B8F3E4129F3}"/>
</file>

<file path=customXml/itemProps3.xml><?xml version="1.0" encoding="utf-8"?>
<ds:datastoreItem xmlns:ds="http://schemas.openxmlformats.org/officeDocument/2006/customXml" ds:itemID="{BD99DA78-6D0F-46BB-8994-BC8AACB61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22</vt:i4>
      </vt:variant>
    </vt:vector>
  </HeadingPairs>
  <TitlesOfParts>
    <vt:vector size="22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Rozpočet_vývoj</vt:lpstr>
      <vt:lpstr>Limity</vt:lpstr>
      <vt:lpstr>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Autor</cp:lastModifiedBy>
  <cp:lastPrinted>2018-08-24T09:21:09Z</cp:lastPrinted>
  <dcterms:created xsi:type="dcterms:W3CDTF">2015-01-29T13:50:20Z</dcterms:created>
  <dcterms:modified xsi:type="dcterms:W3CDTF">2020-07-10T17:58:48Z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0x0101000F192185780B3746972145F6A06BD55F</vt:lpwstr>
  </property>
</Properties>
</file>